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showPivotChartFilter="1"/>
  <bookViews>
    <workbookView xWindow="120" yWindow="1620" windowWidth="15252" windowHeight="5988" tabRatio="919" firstSheet="10" activeTab="10"/>
  </bookViews>
  <sheets>
    <sheet name="Лист1" sheetId="227" state="hidden" r:id="rId1"/>
    <sheet name="Лист2" sheetId="228" state="hidden" r:id="rId2"/>
    <sheet name="Таблица 1.1." sheetId="223" state="hidden" r:id="rId3"/>
    <sheet name="Таблица 1.2.м" sheetId="224" state="hidden" r:id="rId4"/>
    <sheet name="Таблица 1.2.с" sheetId="220" state="hidden" r:id="rId5"/>
    <sheet name="Таблица 1.2.к" sheetId="221" state="hidden" r:id="rId6"/>
    <sheet name="Таблица 1.3." sheetId="226" state="hidden" r:id="rId7"/>
    <sheet name=" население" sheetId="229" state="hidden" r:id="rId8"/>
    <sheet name="прочие" sheetId="231" state="hidden" r:id="rId9"/>
    <sheet name="сети" sheetId="232" state="hidden" r:id="rId10"/>
    <sheet name="лист 1" sheetId="24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m">#REF!</definedName>
    <definedName name="\n">#REF!</definedName>
    <definedName name="\o">#REF!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xlnm._FilterDatabase" localSheetId="7">#REF!</definedName>
    <definedName name="_xlnm._FilterDatabase" localSheetId="8">#REF!</definedName>
    <definedName name="_xlnm._FilterDatabase" localSheetId="9">#REF!</definedName>
    <definedName name="_xlnm._FilterDatabase" localSheetId="5">#REF!</definedName>
    <definedName name="_xlnm._FilterDatabase" localSheetId="3">#REF!</definedName>
    <definedName name="_xlnm._FilterDatabase" localSheetId="4">#REF!</definedName>
    <definedName name="_xlnm._FilterDatabase" localSheetId="6">#REF!</definedName>
    <definedName name="_xlnm._FilterDatabase">#REF!</definedName>
    <definedName name="÷ĺňâĺđňűé">#REF!</definedName>
    <definedName name="AES">#REF!</definedName>
    <definedName name="àî">#N/A</definedName>
    <definedName name="ALL_SET">#REF!</definedName>
    <definedName name="AOE">#REF!</definedName>
    <definedName name="BALEE_FLOAD">#REF!</definedName>
    <definedName name="BALEE_PROT">'[2]Баланс ээ'!$G$22:$J$22,'[2]Баланс ээ'!$G$20:$J$20,'[2]Баланс ээ'!$G$11:$J$18,'[2]Баланс ээ'!$G$24:$J$28</definedName>
    <definedName name="BALM_FLOAD">#REF!</definedName>
    <definedName name="BALM_PROT">'[2]Баланс мощности'!$G$20:$J$20,'[2]Баланс мощности'!$G$22:$J$22,'[2]Баланс мощности'!$G$24:$J$28,'[2]Баланс мощности'!$G$11:$J$18</definedName>
    <definedName name="cd">#N/A</definedName>
    <definedName name="Cities">'[3]All is here'!$A$2:$A$38</definedName>
    <definedName name="Clusters" localSheetId="7">#REF!</definedName>
    <definedName name="Clusters" localSheetId="8">#REF!</definedName>
    <definedName name="Clusters" localSheetId="9">#REF!</definedName>
    <definedName name="Clusters" localSheetId="5">#REF!</definedName>
    <definedName name="Clusters" localSheetId="3">#REF!</definedName>
    <definedName name="Clusters" localSheetId="4">#REF!</definedName>
    <definedName name="Clusters" localSheetId="6">#REF!</definedName>
    <definedName name="Clusters">#REF!</definedName>
    <definedName name="com">#N/A</definedName>
    <definedName name="CompOt">#N/A</definedName>
    <definedName name="CompOt2">#N/A</definedName>
    <definedName name="CompRas">#N/A</definedName>
    <definedName name="ct">#N/A</definedName>
    <definedName name="CUR_VER">[4]Заголовок!$B$21</definedName>
    <definedName name="ď">#N/A</definedName>
    <definedName name="DaNet">[2]regs!$H$94:$H$95</definedName>
    <definedName name="DATA">#REF!</definedName>
    <definedName name="DATE">#REF!</definedName>
    <definedName name="day">[5]source!$B$1</definedName>
    <definedName name="ďď">#N/A</definedName>
    <definedName name="đđ">#N/A</definedName>
    <definedName name="đđđ">#N/A</definedName>
    <definedName name="ddddddddddddddddddddddddddddddddddddddddddddddddddddddddddddddddddddddddddddddddd">#N/A</definedName>
    <definedName name="Debt1" localSheetId="7">#REF!</definedName>
    <definedName name="Debt1" localSheetId="8">#REF!</definedName>
    <definedName name="Debt1" localSheetId="9">#REF!</definedName>
    <definedName name="Debt1" localSheetId="5">#REF!</definedName>
    <definedName name="Debt1" localSheetId="3">#REF!</definedName>
    <definedName name="Debt1" localSheetId="4">#REF!</definedName>
    <definedName name="Debt1" localSheetId="6">#REF!</definedName>
    <definedName name="Debt1">#REF!</definedName>
    <definedName name="DOC">#REF!</definedName>
    <definedName name="Down_range">#REF!</definedName>
    <definedName name="Dr_1">OFFSET([6]!Dr_7[#Headers],,1)</definedName>
    <definedName name="Driver" localSheetId="7">OFFSET(#REF!,0,1)</definedName>
    <definedName name="Driver" localSheetId="8">OFFSET(#REF!,0,1)</definedName>
    <definedName name="Driver" localSheetId="9">OFFSET(#REF!,0,1)</definedName>
    <definedName name="Driver" localSheetId="5">OFFSET(#REF!,0,1)</definedName>
    <definedName name="Driver" localSheetId="3">OFFSET(#REF!,0,1)</definedName>
    <definedName name="Driver" localSheetId="4">OFFSET(#REF!,0,1)</definedName>
    <definedName name="Driver" localSheetId="6">OFFSET(#REF!,0,1)</definedName>
    <definedName name="Driver">OFFSET(#REF!,0,1)</definedName>
    <definedName name="dsragh">#N/A</definedName>
    <definedName name="ęĺ">#N/A</definedName>
    <definedName name="ESO_ET">#REF!</definedName>
    <definedName name="ESO_PROT">[7]ЭСО!$G$35:$G$37,[7]ЭСО!$G$41:$G$44,[7]ЭСО!#REF!,P1_ESO_PROT</definedName>
    <definedName name="ESOcom">#REF!</definedName>
    <definedName name="ew">#N/A</definedName>
    <definedName name="fg">#N/A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g">#N/A</definedName>
    <definedName name="gh">#N/A</definedName>
    <definedName name="GRES">#REF!</definedName>
    <definedName name="GRES_DATA">#REF!</definedName>
    <definedName name="GRES_LIST">#REF!</definedName>
    <definedName name="gtty">#N/A</definedName>
    <definedName name="h">#N/A</definedName>
    <definedName name="hhh">#N/A</definedName>
    <definedName name="hhy">#N/A</definedName>
    <definedName name="hjhgjgjg">#N/A</definedName>
    <definedName name="îî">#N/A</definedName>
    <definedName name="INN">#REF!</definedName>
    <definedName name="j">#N/A</definedName>
    <definedName name="jjjjj">#REF!</definedName>
    <definedName name="k">#N/A</definedName>
    <definedName name="LINE">#REF!</definedName>
    <definedName name="LINE2">#REF!</definedName>
    <definedName name="list">'[8]Распред подразд по МП'!$AJ$2:$AJ$56</definedName>
    <definedName name="list2">'[8]Распред подразд по МП'!$AJ$2:$AJ$79</definedName>
    <definedName name="MmExcelLinker_6E24F10A_D93B_4197_A91F_1E8C46B84DD5">РТ передача [9]ээ!$I$76:$I$76</definedName>
    <definedName name="MO">#REF!</definedName>
    <definedName name="MONTH">#REF!</definedName>
    <definedName name="nfyz">#N/A</definedName>
    <definedName name="NOM">#REF!</definedName>
    <definedName name="NSRF">#REF!</definedName>
    <definedName name="Num">#REF!</definedName>
    <definedName name="o">#N/A</definedName>
    <definedName name="OKTMO">#REF!</definedName>
    <definedName name="öó">#N/A</definedName>
    <definedName name="ORE">#REF!</definedName>
    <definedName name="Org_list">#REF!</definedName>
    <definedName name="OTH_DATA">#REF!</definedName>
    <definedName name="OTH_LIST">#REF!</definedName>
    <definedName name="P1_dip" hidden="1">[10]FST5!$G$167:$G$172,[10]FST5!$G$174:$G$175,[10]FST5!$G$177:$G$180,[10]FST5!$G$182,[10]FST5!$G$184:$G$188,[10]FST5!$G$190,[10]FST5!$G$192:$G$194</definedName>
    <definedName name="P1_eso" hidden="1">[10]FST5!$G$167:$G$172,[10]FST5!$G$174:$G$175,[10]FST5!$G$177:$G$180,[10]FST5!$G$182,[10]FST5!$G$184:$G$188,[10]FST5!$G$190,[10]FST5!$G$192:$G$194</definedName>
    <definedName name="P1_ESO_PROT" hidden="1">[7]ЭСО!#REF!,[7]ЭСО!#REF!,[7]ЭСО!$G$7:$G$15,[7]ЭСО!#REF!,[7]ЭСО!$G$20:$G$22,[7]ЭСО!$G$24:$G$26,[7]ЭСО!$G$29:$G$30,[7]ЭСО!$G$33:$G$33</definedName>
    <definedName name="P1_net" hidden="1">[10]FST5!$G$118:$G$123,[10]FST5!$G$125:$G$126,[10]FST5!$G$128:$G$131,[10]FST5!$G$133,[10]FST5!$G$135:$G$139,[10]FST5!$G$141,[10]FST5!$G$143:$G$145</definedName>
    <definedName name="P1_SBT_PROT" hidden="1">[7]сбыт!#REF!,[7]сбыт!#REF!,[7]сбыт!#REF!,[7]сбыт!#REF!,[7]сбыт!#REF!,[7]сбыт!#REF!,[7]сбыт!#REF!</definedName>
    <definedName name="P1_SC_CLR" hidden="1">#REF!,#REF!,#REF!,#REF!,#REF!</definedName>
    <definedName name="P1_SCOPE_16_PRT">'[11]16'!$E$15:$I$16,'[11]16'!$E$18:$I$20,'[11]16'!$E$23:$I$23,'[11]16'!$E$26:$I$26,'[11]16'!$E$29:$I$29,'[11]16'!$E$32:$I$32,'[11]16'!$E$35:$I$35,'[11]16'!$B$34,'[11]16'!$B$37</definedName>
    <definedName name="P1_SCOPE_17_PRT" hidden="1">'[11]17'!$E$13:$H$21,'[11]17'!$J$9:$J$11,'[11]17'!$J$13:$J$21,'[11]17'!$E$24:$H$26,'[11]17'!$E$28:$H$36,'[11]17'!$J$24:$M$26,'[11]17'!$J$28:$M$36,'[11]17'!$E$39:$H$41</definedName>
    <definedName name="P1_SCOPE_4_PRT" hidden="1">'[11]4'!$F$23:$I$23,'[11]4'!$F$25:$I$25,'[11]4'!$F$27:$I$31,'[11]4'!$K$14:$N$20,'[11]4'!$K$23:$N$23,'[11]4'!$K$25:$N$25,'[11]4'!$K$27:$N$31,'[11]4'!$P$14:$S$20,'[11]4'!$P$23:$S$23</definedName>
    <definedName name="P1_SCOPE_5_PRT" hidden="1">'[11]5'!$F$23:$I$23,'[11]5'!$F$25:$I$25,'[11]5'!$F$27:$I$31,'[11]5'!$K$14:$N$21,'[11]5'!$K$23:$N$23,'[11]5'!$K$25:$N$25,'[11]5'!$K$27:$N$31,'[11]5'!$P$14:$S$21,'[11]5'!$P$23:$S$23</definedName>
    <definedName name="P1_SCOPE_CORR" hidden="1">#REF!,#REF!,#REF!,#REF!,#REF!,#REF!,#REF!</definedName>
    <definedName name="P1_SCOPE_F1_PRT" hidden="1">'[11]Ф-1 (для АО-энерго)'!$D$74:$E$84,'[11]Ф-1 (для АО-энерго)'!$D$71:$E$72,'[11]Ф-1 (для АО-энерго)'!$D$66:$E$69,'[11]Ф-1 (для АО-энерго)'!$D$61:$E$64</definedName>
    <definedName name="P1_SCOPE_F2_PRT" hidden="1">'[11]Ф-2 (для АО-энерго)'!$G$56,'[11]Ф-2 (для АО-энерго)'!$E$55:$E$56,'[11]Ф-2 (для АО-энерго)'!$F$55:$G$55,'[11]Ф-2 (для АО-энерго)'!$D$55</definedName>
    <definedName name="P1_SCOPE_FLOAD" hidden="1">'[7]Ген. не уч. ОРЭМ'!$F$33:$F$36,'[7]Ген. не уч. ОРЭМ'!$F$38:$F$43,'[7]Ген. не уч. ОРЭМ'!$F$45:$F$45,'[7]Ген. не уч. ОРЭМ'!$F$47:$F$47,'[7]Ген. не уч. ОРЭМ'!$F$49:$F$49,'[7]Ген. не уч. ОРЭМ'!$F$51:$F$51</definedName>
    <definedName name="P1_SCOPE_FRML" hidden="1">'[7]Ген. не уч. ОРЭМ'!$F$18:$F$26,'[7]Ген. не уч. ОРЭМ'!$F$28:$F$29,'[7]Ген. не уч. ОРЭМ'!$F$31:$F$31,'[7]Ген. не уч. ОРЭМ'!$F$33:$F$35,'[7]Ген. не уч. ОРЭМ'!$F$38:$F$42,'[7]Ген. не уч. ОРЭМ'!$F$45:$F$45</definedName>
    <definedName name="P1_SCOPE_PER_PRT" hidden="1">[11]перекрестка!$H$15:$H$19,[11]перекрестка!$H$21:$H$25,[11]перекрестка!$J$14:$J$25,[11]перекрестка!$K$15:$K$19,[11]перекрестка!$K$21:$K$25</definedName>
    <definedName name="P1_SCOPE_SV_LD" hidden="1">#REF!,#REF!,#REF!,#REF!,#REF!,#REF!,#REF!</definedName>
    <definedName name="P1_SCOPE_SV_LD1" hidden="1">[11]свод!$E$70:$I$79,[11]свод!$E$81:$I$81,[11]свод!$E$83:$I$88,[11]свод!$E$90:$I$90,[11]свод!$E$92:$I$96,[11]свод!$E$98:$I$98,[11]свод!$E$101:$I$102</definedName>
    <definedName name="P1_SCOPE_SV_PRT">[11]свод!$E$23:$H$26,[11]свод!$E$28:$I$29,[11]свод!$E$32:$I$36,[11]свод!$E$38:$I$40,[11]свод!$E$42:$I$53,[11]свод!$E$55:$I$56,[11]свод!$E$58:$I$63</definedName>
    <definedName name="P1_SET_PROT" hidden="1">#REF!,#REF!,#REF!,#REF!,#REF!,#REF!,#REF!</definedName>
    <definedName name="P1_SET_PRT" hidden="1">#REF!,#REF!,#REF!,#REF!,#REF!,#REF!,#REF!</definedName>
    <definedName name="P12_T28_Protection">P1_T28_Protection,P2_T28_Protection,P3_T28_Protection,P4_T28_Protection,P5_T28_Protection,P6_T28_Protection,P7_T28_Protection,P8_T28_Protection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hidden="1">P5_T1_Protect,P6_T1_Protect,P7_T1_Protect,P8_T1_Protect,P9_T1_Protect,P10_T1_Protect,P11_T1_Protect,P12_T1_Protect,P13_T1_Protect,P14_T1_Protect</definedName>
    <definedName name="P2_dip" hidden="1">[10]FST5!$G$100:$G$116,[10]FST5!$G$118:$G$123,[10]FST5!$G$125:$G$126,[10]FST5!$G$128:$G$131,[10]FST5!$G$133,[10]FST5!$G$135:$G$139,[10]FST5!$G$141</definedName>
    <definedName name="P2_SC_CLR" hidden="1">#REF!,#REF!,#REF!,#REF!,#REF!</definedName>
    <definedName name="P2_SCOPE_16_PRT">'[11]16'!$E$38:$I$38,'[11]16'!$E$41:$I$41,'[11]16'!$E$45:$I$47,'[11]16'!$E$49:$I$49,'[11]16'!$E$53:$I$54,'[11]16'!$E$56:$I$57,'[11]16'!$E$59:$I$59,'[11]16'!$E$9:$I$13</definedName>
    <definedName name="P2_SCOPE_4_PRT" hidden="1">'[11]4'!$P$25:$S$25,'[11]4'!$P$27:$S$31,'[11]4'!$U$14:$X$20,'[11]4'!$U$23:$X$23,'[11]4'!$U$25:$X$25,'[11]4'!$U$27:$X$31,'[11]4'!$Z$14:$AC$20,'[11]4'!$Z$23:$AC$23,'[11]4'!$Z$25:$AC$25</definedName>
    <definedName name="P2_SCOPE_5_PRT" hidden="1">'[11]5'!$P$25:$S$25,'[11]5'!$P$27:$S$31,'[11]5'!$U$14:$X$21,'[11]5'!$U$23:$X$23,'[11]5'!$U$25:$X$25,'[11]5'!$U$27:$X$31,'[11]5'!$Z$14:$AC$21,'[11]5'!$Z$23:$AC$23,'[11]5'!$Z$25:$AC$25</definedName>
    <definedName name="P2_SCOPE_CORR" hidden="1">#REF!,#REF!,#REF!,#REF!,#REF!,#REF!,#REF!,#REF!</definedName>
    <definedName name="P2_SCOPE_F1_PRT" hidden="1">'[11]Ф-1 (для АО-энерго)'!$D$56:$E$59,'[11]Ф-1 (для АО-энерго)'!$D$34:$E$50,'[11]Ф-1 (для АО-энерго)'!$D$32:$E$32,'[11]Ф-1 (для АО-энерго)'!$D$23:$E$30</definedName>
    <definedName name="P2_SCOPE_F2_PRT" hidden="1">'[11]Ф-2 (для АО-энерго)'!$D$52:$G$54,'[11]Ф-2 (для АО-энерго)'!$C$21:$E$42,'[11]Ф-2 (для АО-энерго)'!$A$12:$E$12,'[11]Ф-2 (для АО-энерго)'!$C$8:$E$11</definedName>
    <definedName name="P2_SCOPE_PER_PRT" hidden="1">[11]перекрестка!$N$14:$N$25,[11]перекрестка!$N$27:$N$31,[11]перекрестка!$J$27:$K$31,[11]перекрестка!$F$27:$H$31,[11]перекрестка!$F$33:$H$37</definedName>
    <definedName name="P2_SCOPE_SV_PRT">[11]свод!$E$72:$I$79,[11]свод!$E$81:$I$81,[11]свод!$E$85:$H$88,[11]свод!$E$90:$I$90,[11]свод!$E$107:$I$112,[11]свод!$E$114:$I$117,[11]свод!$E$124:$H$127</definedName>
    <definedName name="P3_dip" hidden="1">[10]FST5!$G$143:$G$145,[10]FST5!$G$214:$G$217,[10]FST5!$G$219:$G$224,[10]FST5!$G$226,[10]FST5!$G$228,[10]FST5!$G$230,[10]FST5!$G$232,[10]FST5!$G$197:$G$212</definedName>
    <definedName name="P3_SCOPE_F1_PRT" hidden="1">'[11]Ф-1 (для АО-энерго)'!$E$16:$E$17,'[11]Ф-1 (для АО-энерго)'!$C$4:$D$4,'[11]Ф-1 (для АО-энерго)'!$C$7:$E$10,'[11]Ф-1 (для АО-энерго)'!$A$11:$E$11</definedName>
    <definedName name="P3_SCOPE_PER_PRT" hidden="1">[11]перекрестка!$J$33:$K$37,[11]перекрестка!$N$33:$N$37,[11]перекрестка!$F$39:$H$43,[11]перекрестка!$J$39:$K$43,[11]перекрестка!$N$39:$N$43</definedName>
    <definedName name="P3_SCOPE_SV_PRT">[11]свод!$D$135:$G$135,[11]свод!$I$135:$I$140,[11]свод!$H$137:$H$140,[11]свод!$D$138:$G$140,[11]свод!$E$15:$I$16,[11]свод!$E$120:$I$121,[11]свод!$E$18:$I$19</definedName>
    <definedName name="P4_dip" hidden="1">[10]FST5!$G$70:$G$75,[10]FST5!$G$77:$G$78,[10]FST5!$G$80:$G$83,[10]FST5!$G$85,[10]FST5!$G$87:$G$91,[10]FST5!$G$93,[10]FST5!$G$95:$G$97,[10]FST5!$G$52:$G$68</definedName>
    <definedName name="P4_SCOPE_F1_PRT" hidden="1">'[11]Ф-1 (для АО-энерго)'!$C$13:$E$13,'[11]Ф-1 (для АО-энерго)'!$A$14:$E$14,'[11]Ф-1 (для АО-энерго)'!$C$23:$C$50,'[11]Ф-1 (для АО-энерго)'!$C$54:$C$95</definedName>
    <definedName name="P4_SCOPE_PER_PRT" hidden="1">[11]перекрестка!$F$45:$H$49,[11]перекрестка!$J$45:$K$49,[11]перекрестка!$N$45:$N$49,[11]перекрестка!$F$53:$G$64,[11]перекрестка!$H$54:$H$58</definedName>
    <definedName name="P5_SCOPE_PER_PRT">[11]перекрестка!$H$60:$H$64,[11]перекрестка!$J$53:$J$64,[11]перекрестка!$K$54:$K$58,[11]перекрестка!$K$60:$K$64,[11]перекрестка!$N$53:$N$64</definedName>
    <definedName name="P6_SCOPE_PER_PRT">[11]перекрестка!$F$66:$H$70,[11]перекрестка!$J$66:$K$70,[11]перекрестка!$N$66:$N$70,[11]перекрестка!$F$72:$H$76,[11]перекрестка!$J$72:$K$76</definedName>
    <definedName name="P6_T2.1?Protection">P1_T2.1?Protection</definedName>
    <definedName name="P7_SCOPE_PER_PRT">[11]перекрестка!$N$72:$N$76,[11]перекрестка!$F$78:$H$82,[11]перекрестка!$J$78:$K$82,[11]перекрестка!$N$78:$N$82,[11]перекрестка!$F$84:$H$88</definedName>
    <definedName name="P8_SCOPE_PER_PRT">[11]перекрестка!$J$84:$K$88,[11]перекрестка!$N$84:$N$88,[11]перекрестка!$F$14:$G$25,P1_SCOPE_PER_PRT,P2_SCOPE_PER_PRT,P3_SCOPE_PER_PRT,P4_SCOPE_PER_PRT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_PROT">[2]regs!$H$18:$H$23,[2]regs!$H$25:$H$26,[2]regs!$H$28:$H$28,[2]regs!$H$30:$H$32,[2]regs!$H$35:$H$39,[2]regs!$H$46:$H$46,[2]regs!$H$13:$H$16</definedName>
    <definedName name="REGcom">#REF!</definedName>
    <definedName name="regions">[2]regs!$A$1:$A$87</definedName>
    <definedName name="REGUL">#REF!</definedName>
    <definedName name="rr">#N/A</definedName>
    <definedName name="ŕŕ">#N/A</definedName>
    <definedName name="RRE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OPE_16_PRT">P1_SCOPE_16_PRT,P2_SCOPE_16_PRT</definedName>
    <definedName name="SCOPE_17.1_PRT">'[11]17.1'!$D$14:$F$17,'[11]17.1'!$D$19:$F$22,'[11]17.1'!$I$9:$I$12,'[11]17.1'!$I$14:$I$17,'[11]17.1'!$I$19:$I$22,'[11]17.1'!$D$9:$F$12</definedName>
    <definedName name="SCOPE_17_PRT">'[11]17'!$J$39:$M$41,'[11]17'!$E$43:$H$51,'[11]17'!$J$43:$M$51,'[11]17'!$E$54:$H$56,'[11]17'!$E$58:$H$66,'[11]17'!$E$69:$M$81,'[11]17'!$E$9:$H$11,P1_SCOPE_17_PRT</definedName>
    <definedName name="SCOPE_24_LD">'[11]24'!$E$8:$J$47,'[11]24'!$E$49:$J$66</definedName>
    <definedName name="SCOPE_24_PRT">'[11]24'!$E$41:$I$41,'[11]24'!$E$34:$I$34,'[11]24'!$E$36:$I$36,'[11]24'!$E$43:$I$43</definedName>
    <definedName name="SCOPE_25_PRT">'[11]25'!$E$20:$I$20,'[11]25'!$E$34:$I$34,'[11]25'!$E$41:$I$41,'[11]25'!$E$8:$I$10</definedName>
    <definedName name="SCOPE_4_PRT">'[11]4'!$Z$27:$AC$31,'[11]4'!$F$14:$I$20,P1_SCOPE_4_PRT,P2_SCOPE_4_PRT</definedName>
    <definedName name="SCOPE_5_PRT">'[11]5'!$Z$27:$AC$31,'[11]5'!$F$14:$I$21,P1_SCOPE_5_PRT,P2_SCOPE_5_PRT</definedName>
    <definedName name="SCOPE_APR">#REF!</definedName>
    <definedName name="SCOPE_AUG">#REF!</definedName>
    <definedName name="SCOPE_BAL_EN">#REF!</definedName>
    <definedName name="SCOPE_DEC">#REF!</definedName>
    <definedName name="SCOPE_ESOLD">#REF!</definedName>
    <definedName name="SCOPE_ETALON2">#REF!</definedName>
    <definedName name="SCOPE_F1_PRT">'[11]Ф-1 (для АО-энерго)'!$D$86:$E$95,P1_SCOPE_F1_PRT,P2_SCOPE_F1_PRT,P3_SCOPE_F1_PRT,P4_SCOPE_F1_PRT</definedName>
    <definedName name="SCOPE_F2_PRT">'[11]Ф-2 (для АО-энерго)'!$C$5:$D$5,'[11]Ф-2 (для АО-энерго)'!$C$52:$C$57,'[11]Ф-2 (для АО-энерго)'!$D$57:$G$57,P1_SCOPE_F2_PRT,P2_SCOPE_F2_PRT</definedName>
    <definedName name="SCOPE_FEB">#REF!</definedName>
    <definedName name="SCOPE_FLOAD">'[7]Ген. не уч. ОРЭМ'!$F$13:$F$31,P1_SCOPE_FLOAD</definedName>
    <definedName name="SCOPE_FORM46_EE1">#REF!</definedName>
    <definedName name="SCOPE_FORM46_EE1_ZAG_KOD">#REF!</definedName>
    <definedName name="SCOPE_FORM46_EE1_ZAG_NAME">#REF!</definedName>
    <definedName name="SCOPE_FRML">'[7]Ген. не уч. ОРЭМ'!$F$49:$F$49,'[7]Ген. не уч. ОРЭМ'!$F$13:$F$16,P1_SCOPE_FRML</definedName>
    <definedName name="SCOPE_FUEL_ET">#REF!</definedName>
    <definedName name="SCOPE_FULL_LOAD">[0]!P16_SCOPE_FULL_LOAD,[0]!P17_SCOPE_FULL_LOAD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'[12]Стоимость ЭЭ'!$G$111:$AN$113,'[12]Стоимость ЭЭ'!$G$93:$AN$95,'[12]Стоимость ЭЭ'!$G$51:$AN$53</definedName>
    <definedName name="SCOPE_MAR">#REF!</definedName>
    <definedName name="SCOPE_MAY">#REF!</definedName>
    <definedName name="SCOPE_MO">[13]Справочники!$K$6:$K$742,[13]Справочники!#REF!</definedName>
    <definedName name="SCOPE_MUPS">[13]Свод!#REF!,[13]Свод!#REF!</definedName>
    <definedName name="SCOPE_MUPS_NAMES">[13]Свод!#REF!,[13]Свод!#REF!</definedName>
    <definedName name="SCOPE_NALOG">[14]Справочники!$R$3:$R$4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V">#REF!</definedName>
    <definedName name="SCOPE_OCT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P">#REF!</definedName>
    <definedName name="SCOPE_SETLD">#REF!</definedName>
    <definedName name="SCOPE_SPR_PRT">[11]Справочники!$D$21:$J$22,[11]Справочники!$E$13:$I$14,[11]Справочники!$F$27:$H$28</definedName>
    <definedName name="SCOPE_SV_LD1">[11]свод!$E$104:$I$104,[11]свод!$E$106:$I$117,[11]свод!$E$120:$I$121,[11]свод!$E$123:$I$127,[11]свод!$E$10:$I$68,P1_SCOPE_SV_LD1</definedName>
    <definedName name="SCOPE_SV_PRT">P1_SCOPE_SV_PRT,P2_SCOPE_SV_PRT,P3_SCOPE_SV_PRT</definedName>
    <definedName name="SCOPE_SVOD">[7]Свод!$K$34,[7]Свод!$D$4:$K$31</definedName>
    <definedName name="SCOPE_TEST">#REF!</definedName>
    <definedName name="SCOPE_YEAR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[13]Справочники!$E$6,[13]Справочники!$D$11:$D$902,[13]Справочники!$E$3</definedName>
    <definedName name="sq">#REF!</definedName>
    <definedName name="T1_Protect">P15_T1_Protect,P16_T1_Protect,P17_T1_Protect,P18_T1_Protect,P19_T1_Protect</definedName>
    <definedName name="T11?Data">#N/A</definedName>
    <definedName name="T17_Protection">P2_T17_Protection,P3_T17_Protection,P4_T17_Protection,P5_T17_Protection,P6_T17_Protection</definedName>
    <definedName name="T18.1?Data">P1_T18.1?Data,P2_T18.1?Data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Protection">P1_T2?Protection,P2_T2?Protection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4?Data">P1_T21.4?Data,P2_T21.4?Data</definedName>
    <definedName name="T21_Protection">P2_T21_Protection,P3_T21_Protection</definedName>
    <definedName name="T25_protection">P1_T25_protection,P2_T25_protection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7?Data">#N/A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TT">#REF!</definedName>
    <definedName name="upr">#N/A</definedName>
    <definedName name="ůůů">#N/A</definedName>
    <definedName name="VDOC">#REF!</definedName>
    <definedName name="VV">#N/A</definedName>
    <definedName name="we">#N/A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">P1_T2.1?Protection</definedName>
    <definedName name="аа">#N/A</definedName>
    <definedName name="АААААААА">#N/A</definedName>
    <definedName name="абонтв">#REF!</definedName>
    <definedName name="ав">#N/A</definedName>
    <definedName name="ап">#N/A</definedName>
    <definedName name="атств">#REF!</definedName>
    <definedName name="аяыпамыпмипи">#N/A</definedName>
    <definedName name="бб">#N/A</definedName>
    <definedName name="БС">[15]Справочники!$A$4:$A$6</definedName>
    <definedName name="в">#N/A</definedName>
    <definedName name="в23ё">#N/A</definedName>
    <definedName name="вап">#N/A</definedName>
    <definedName name="Вар.их">#N/A</definedName>
    <definedName name="Вар.КАЛМЭ">#N/A</definedName>
    <definedName name="вв">#N/A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прпр" hidden="1">#REF!,#REF!,#REF!,#REF!,#REF!,#REF!,#REF!,#REF!</definedName>
    <definedName name="вртт">#N/A</definedName>
    <definedName name="ВТОП">#REF!</definedName>
    <definedName name="вуув" hidden="1">{#N/A,#N/A,TRUE,"Лист1";#N/A,#N/A,TRUE,"Лист2";#N/A,#N/A,TRUE,"Лист3"}</definedName>
    <definedName name="выррждтв">#REF!</definedName>
    <definedName name="газкоэфвндо50">#REF!</definedName>
    <definedName name="газкоэфвнот50">#REF!</definedName>
    <definedName name="газкоэфнед">#REF!</definedName>
    <definedName name="газкоэфсндо50">#REF!</definedName>
    <definedName name="газкоэфснот50">#REF!</definedName>
    <definedName name="газпереборвн">#REF!</definedName>
    <definedName name="газпереборсн">#REF!</definedName>
    <definedName name="газтвн">#REF!</definedName>
    <definedName name="газтсн">#REF!</definedName>
    <definedName name="гнлзщ">#N/A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ж">#N/A</definedName>
    <definedName name="дол">#REF!</definedName>
    <definedName name="доопатмо">#N/A</definedName>
    <definedName name="Дополнение">#N/A</definedName>
    <definedName name="допрасхтв">#REF!</definedName>
    <definedName name="ДРУГОЕ">[16]Справочники!$A$26:$A$28</definedName>
    <definedName name="дьбщош2" localSheetId="8">OFFSET(#REF!,0,1)</definedName>
    <definedName name="дьбщош2" localSheetId="9">OFFSET(#REF!,0,1)</definedName>
    <definedName name="дьбщош2">OFFSET(#REF!,0,1)</definedName>
    <definedName name="еще">#N/A</definedName>
    <definedName name="ж">#N/A</definedName>
    <definedName name="жд">#N/A</definedName>
    <definedName name="заголовок">#REF!</definedName>
    <definedName name="й">#N/A</definedName>
    <definedName name="ий">#N/A</definedName>
    <definedName name="йй">#N/A</definedName>
    <definedName name="индцкавг98" hidden="1">{#N/A,#N/A,TRUE,"Лист1";#N/A,#N/A,TRUE,"Лист2";#N/A,#N/A,TRUE,"Лист3"}</definedName>
    <definedName name="инкоэфвндо50">#REF!</definedName>
    <definedName name="инкоэфвнот50">#REF!</definedName>
    <definedName name="инкоэфнед">#REF!</definedName>
    <definedName name="инкоэфсндо50">#REF!</definedName>
    <definedName name="инкоэфснот50">#REF!</definedName>
    <definedName name="инпереборвн">#REF!</definedName>
    <definedName name="инпереборсн">#REF!</definedName>
    <definedName name="интвн">#REF!</definedName>
    <definedName name="интсн">#REF!</definedName>
    <definedName name="йфц">#N/A</definedName>
    <definedName name="йц">#N/A</definedName>
    <definedName name="йцу">#N/A</definedName>
    <definedName name="ке">#N/A</definedName>
    <definedName name="кеппппппппппп" hidden="1">{#N/A,#N/A,TRUE,"Лист1";#N/A,#N/A,TRUE,"Лист2";#N/A,#N/A,TRUE,"Лист3"}</definedName>
    <definedName name="колатств">#REF!</definedName>
    <definedName name="колтвоткл">#REF!</definedName>
    <definedName name="колтвржд">#REF!</definedName>
    <definedName name="колтвэнер">#REF!</definedName>
    <definedName name="колфорэмтв">#REF!</definedName>
    <definedName name="компенсация">#N/A</definedName>
    <definedName name="кп">#N/A</definedName>
    <definedName name="кпнрг">#N/A</definedName>
    <definedName name="ктджщз">#N/A</definedName>
    <definedName name="лар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#N/A</definedName>
    <definedName name="лор">#N/A</definedName>
    <definedName name="лщжо" hidden="1">{#N/A,#N/A,TRUE,"Лист1";#N/A,#N/A,TRUE,"Лист2";#N/A,#N/A,TRUE,"Лист3"}</definedName>
    <definedName name="мам">#N/A</definedName>
    <definedName name="маржатв">#REF!</definedName>
    <definedName name="МР">#REF!</definedName>
    <definedName name="мым">#N/A</definedName>
    <definedName name="н">[13]Справочники!$K$6:$K$742,[13]Справочники!#REF!</definedName>
    <definedName name="нгг">#N/A</definedName>
    <definedName name="НСРФ">[17]Регионы!$A$2:$A$88</definedName>
    <definedName name="НСРФ2">#REF!</definedName>
    <definedName name="ншш" hidden="1">{#N/A,#N/A,TRUE,"Лист1";#N/A,#N/A,TRUE,"Лист2";#N/A,#N/A,TRUE,"Лист3"}</definedName>
    <definedName name="_xlnm.Print_Area" localSheetId="10">'лист 1'!$A$1:$N$56</definedName>
    <definedName name="_xlnm.Print_Area" localSheetId="2">'Таблица 1.1.'!$A$1:$F$46</definedName>
    <definedName name="_xlnm.Print_Area" localSheetId="5">'Таблица 1.2.к'!$A$1:$L$77</definedName>
    <definedName name="_xlnm.Print_Area" localSheetId="3">'Таблица 1.2.м'!$A$1:$L$77</definedName>
    <definedName name="_xlnm.Print_Area" localSheetId="4">'Таблица 1.2.с'!$A$1:$L$77</definedName>
    <definedName name="_xlnm.Print_Area" localSheetId="6">'Таблица 1.3.'!$A$1:$L$10</definedName>
    <definedName name="общие_выбытия">'[18]влад-таблица'!$F$88</definedName>
    <definedName name="олло">#N/A</definedName>
    <definedName name="олорррррррррррр">#REF!</definedName>
    <definedName name="олс">#N/A</definedName>
    <definedName name="ооо">#N/A</definedName>
    <definedName name="ОРГ">#REF!</definedName>
    <definedName name="ОРГАНИЗАЦИЯ">#REF!</definedName>
    <definedName name="отклГазвн">#REF!</definedName>
    <definedName name="отклГазсн">#REF!</definedName>
    <definedName name="отклИнввн">#REF!</definedName>
    <definedName name="отклИнвсн">#REF!</definedName>
    <definedName name="отпуск">#N/A</definedName>
    <definedName name="п">#REF!,#REF!,#REF!,#REF!,#REF!,P1_SET_PROT</definedName>
    <definedName name="перединфтв">#REF!</definedName>
    <definedName name="план56">#N/A</definedName>
    <definedName name="ПМС">#N/A</definedName>
    <definedName name="ПМС1">#N/A</definedName>
    <definedName name="пппп">#N/A</definedName>
    <definedName name="пр">#N/A</definedName>
    <definedName name="Предлагаемые_для_утверждения_тарифы_на_эл.эн">#REF!</definedName>
    <definedName name="прибыль3" hidden="1">{#N/A,#N/A,TRUE,"Лист1";#N/A,#N/A,TRUE,"Лист2";#N/A,#N/A,TRUE,"Лист3"}</definedName>
    <definedName name="процентрезерв">#REF!</definedName>
    <definedName name="прочие" localSheetId="8">#REF!</definedName>
    <definedName name="прочие" localSheetId="9">#REF!</definedName>
    <definedName name="прочие">#REF!</definedName>
    <definedName name="прошлыйгод">#REF!</definedName>
    <definedName name="ПЭ">[16]Справочники!$A$10:$A$12</definedName>
    <definedName name="раб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ГК">'[19]2007'!$A$28:$A$29</definedName>
    <definedName name="резерв">#REF!</definedName>
    <definedName name="рис1" hidden="1">{#N/A,#N/A,TRUE,"Лист1";#N/A,#N/A,TRUE,"Лист2";#N/A,#N/A,TRUE,"Лист3"}</definedName>
    <definedName name="рпав">'[11]17'!$J$39:$M$41,'[11]17'!$E$43:$H$51,'[11]17'!$J$43:$M$51,'[11]17'!$E$54:$H$56,'[11]17'!$E$58:$H$66,'[11]17'!$E$69:$M$81,'[11]17'!$E$9:$H$11,P1_SCOPE_17_PRT</definedName>
    <definedName name="рсср">#N/A</definedName>
    <definedName name="с">#N/A</definedName>
    <definedName name="с1">#N/A</definedName>
    <definedName name="сваеррта">#N/A</definedName>
    <definedName name="свмпвппв">#N/A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батств">#REF!</definedName>
    <definedName name="себестоимость2">#N/A</definedName>
    <definedName name="себотклонтв">#REF!</definedName>
    <definedName name="себтвэн">#REF!</definedName>
    <definedName name="себфортв">#REF!</definedName>
    <definedName name="ск">#N/A</definedName>
    <definedName name="сокращение">#N/A</definedName>
    <definedName name="сомп">#N/A</definedName>
    <definedName name="сомпас">#N/A</definedName>
    <definedName name="сотв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#N/A</definedName>
    <definedName name="сссс">#N/A</definedName>
    <definedName name="ссы">#N/A</definedName>
    <definedName name="ссы2">#N/A</definedName>
    <definedName name="т2п11">[20]Т2!$B$40</definedName>
    <definedName name="т6п5_1">[20]Т6!$B$12</definedName>
    <definedName name="т6п5_2">[20]Т6!$B$18</definedName>
    <definedName name="таня">#N/A</definedName>
    <definedName name="тватс">#REF!</definedName>
    <definedName name="твперед">#REF!</definedName>
    <definedName name="тепло">#N/A</definedName>
    <definedName name="тп" hidden="1">{#N/A,#N/A,TRUE,"Лист1";#N/A,#N/A,TRUE,"Лист2";#N/A,#N/A,TRUE,"Лист3"}</definedName>
    <definedName name="ть">#N/A</definedName>
    <definedName name="ТЭП2" hidden="1">{#N/A,#N/A,TRUE,"Лист1";#N/A,#N/A,TRUE,"Лист2";#N/A,#N/A,TRUE,"Лист3"}</definedName>
    <definedName name="у">#N/A</definedName>
    <definedName name="у1">#N/A</definedName>
    <definedName name="УГОЛЬ">[16]Справочники!$A$19:$A$21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#N/A</definedName>
    <definedName name="УФ">#N/A</definedName>
    <definedName name="уыукпе">#N/A</definedName>
    <definedName name="фам">#N/A</definedName>
    <definedName name="Форма">#N/A</definedName>
    <definedName name="фортв">#REF!</definedName>
    <definedName name="форэмтв">#REF!</definedName>
    <definedName name="фсктв">#REF!</definedName>
    <definedName name="фыаспит">#N/A</definedName>
    <definedName name="ц">#N/A</definedName>
    <definedName name="ц1">#N/A</definedName>
    <definedName name="цу">#N/A</definedName>
    <definedName name="цуа">#N/A</definedName>
    <definedName name="черновик">#N/A</definedName>
    <definedName name="щ">#N/A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энкоэфдо50">#REF!</definedName>
    <definedName name="энкоэфнед">#REF!</definedName>
    <definedName name="энкоэфот50">#REF!</definedName>
    <definedName name="энкоэфсндо50">#REF!</definedName>
    <definedName name="энкоэфснот50">#REF!</definedName>
    <definedName name="энпереборвн">#REF!</definedName>
    <definedName name="энпереборсн">#REF!</definedName>
    <definedName name="энтвн">#REF!</definedName>
    <definedName name="энтсн">#REF!</definedName>
    <definedName name="ю">#N/A</definedName>
    <definedName name="ююююююю">#N/A</definedName>
    <definedName name="я">#N/A</definedName>
    <definedName name="яя">#N/A</definedName>
    <definedName name="яяя">#N/A</definedName>
  </definedNames>
  <calcPr calcId="145621"/>
</workbook>
</file>

<file path=xl/calcChain.xml><?xml version="1.0" encoding="utf-8"?>
<calcChain xmlns="http://schemas.openxmlformats.org/spreadsheetml/2006/main">
  <c r="E26" i="231" l="1"/>
  <c r="J3" i="227"/>
  <c r="AB7" i="229"/>
  <c r="AF7" i="229" l="1"/>
  <c r="AD7" i="229"/>
  <c r="AC7" i="229"/>
  <c r="AE2" i="232" l="1"/>
  <c r="AB7" i="232"/>
  <c r="E18" i="232" s="1"/>
  <c r="E15" i="232" s="1"/>
  <c r="AG2" i="231"/>
  <c r="E23" i="231"/>
  <c r="E21" i="231"/>
  <c r="J21" i="231" s="1"/>
  <c r="AC7" i="231"/>
  <c r="AB7" i="231"/>
  <c r="E18" i="231" s="1"/>
  <c r="J34" i="231"/>
  <c r="J26" i="231"/>
  <c r="J23" i="231"/>
  <c r="L9" i="231"/>
  <c r="J25" i="229"/>
  <c r="J7" i="229"/>
  <c r="L9" i="229"/>
  <c r="AJ2" i="229"/>
  <c r="E7" i="229"/>
  <c r="E36" i="229"/>
  <c r="J36" i="229" s="1"/>
  <c r="E28" i="229"/>
  <c r="J28" i="229" s="1"/>
  <c r="E9" i="232" l="1"/>
  <c r="E7" i="232" s="1"/>
  <c r="E12" i="232"/>
  <c r="J18" i="231"/>
  <c r="E15" i="231"/>
  <c r="E36" i="231"/>
  <c r="E12" i="231" l="1"/>
  <c r="E9" i="231"/>
  <c r="J15" i="231"/>
  <c r="J36" i="231"/>
  <c r="E23" i="229"/>
  <c r="J23" i="229" s="1"/>
  <c r="E21" i="229"/>
  <c r="E18" i="229" l="1"/>
  <c r="J21" i="229"/>
  <c r="J9" i="231"/>
  <c r="J12" i="231"/>
  <c r="J18" i="229"/>
  <c r="N26" i="227"/>
  <c r="I39" i="227" s="1"/>
  <c r="I23" i="227"/>
  <c r="F23" i="227"/>
  <c r="E23" i="227"/>
  <c r="J15" i="229" l="1"/>
  <c r="J38" i="229"/>
  <c r="E38" i="229"/>
  <c r="E15" i="229"/>
  <c r="B24" i="228"/>
  <c r="C21" i="228" s="1"/>
  <c r="D21" i="228" s="1"/>
  <c r="J8" i="227"/>
  <c r="J9" i="229" l="1"/>
  <c r="J12" i="229"/>
  <c r="E9" i="229"/>
  <c r="E12" i="229"/>
  <c r="C20" i="228"/>
  <c r="D20" i="228" s="1"/>
  <c r="C22" i="228"/>
  <c r="D22" i="228" s="1"/>
  <c r="C23" i="228"/>
  <c r="D23" i="228" s="1"/>
  <c r="D18" i="228"/>
  <c r="D17" i="228"/>
  <c r="H4" i="227"/>
  <c r="E17" i="228" l="1"/>
  <c r="H8" i="227" s="1"/>
  <c r="H9" i="227" s="1"/>
  <c r="H10" i="227" s="1"/>
  <c r="H11" i="227" s="1"/>
  <c r="H12" i="227" s="1"/>
  <c r="O11" i="227"/>
  <c r="D34" i="227"/>
  <c r="L27" i="227"/>
  <c r="N27" i="227" s="1"/>
  <c r="I40" i="227" s="1"/>
  <c r="C13" i="228"/>
  <c r="C12" i="228"/>
  <c r="B14" i="228"/>
  <c r="B11" i="228"/>
  <c r="F27" i="227"/>
  <c r="G27" i="227" s="1"/>
  <c r="F28" i="227"/>
  <c r="G28" i="227" s="1"/>
  <c r="D41" i="227" s="1"/>
  <c r="F29" i="227"/>
  <c r="G29" i="227" s="1"/>
  <c r="F26" i="227"/>
  <c r="G26" i="227" s="1"/>
  <c r="O26" i="227" s="1"/>
  <c r="J39" i="227" s="1"/>
  <c r="I17" i="227"/>
  <c r="I18" i="227" s="1"/>
  <c r="B27" i="227"/>
  <c r="B28" i="227"/>
  <c r="C41" i="227" s="1"/>
  <c r="B29" i="227"/>
  <c r="H29" i="227" s="1"/>
  <c r="I29" i="227" s="1"/>
  <c r="C42" i="227" s="1"/>
  <c r="B26" i="227"/>
  <c r="B39" i="227" s="1"/>
  <c r="C23" i="227"/>
  <c r="C14" i="228" l="1"/>
  <c r="C15" i="228"/>
  <c r="J31" i="227" s="1"/>
  <c r="J29" i="227" s="1"/>
  <c r="C40" i="227"/>
  <c r="B40" i="227"/>
  <c r="I19" i="227"/>
  <c r="D37" i="227" s="1"/>
  <c r="D36" i="227"/>
  <c r="D35" i="227"/>
  <c r="D39" i="227"/>
  <c r="O27" i="227"/>
  <c r="J40" i="227" s="1"/>
  <c r="B42" i="227"/>
  <c r="B41" i="227"/>
  <c r="D40" i="227"/>
  <c r="H30" i="227"/>
  <c r="I30" i="227" s="1"/>
  <c r="C39" i="227"/>
  <c r="B30" i="227"/>
  <c r="L28" i="227"/>
  <c r="J28" i="227" l="1"/>
  <c r="K28" i="227" s="1"/>
  <c r="H41" i="227" s="1"/>
  <c r="K29" i="227"/>
  <c r="H42" i="227" s="1"/>
  <c r="G42" i="227"/>
  <c r="G23" i="227"/>
  <c r="H23" i="227"/>
  <c r="J26" i="227"/>
  <c r="G39" i="227" s="1"/>
  <c r="J27" i="227"/>
  <c r="G41" i="227"/>
  <c r="L29" i="227"/>
  <c r="N28" i="227"/>
  <c r="I41" i="227" s="1"/>
  <c r="O28" i="227"/>
  <c r="J41" i="227" s="1"/>
  <c r="K26" i="227" l="1"/>
  <c r="H39" i="227" s="1"/>
  <c r="J30" i="227"/>
  <c r="K30" i="227" s="1"/>
  <c r="K41" i="227"/>
  <c r="G40" i="227"/>
  <c r="K27" i="227"/>
  <c r="H40" i="227" s="1"/>
  <c r="K39" i="227"/>
  <c r="N29" i="227"/>
  <c r="I42" i="227" s="1"/>
  <c r="O29" i="227"/>
  <c r="J42" i="227" s="1"/>
  <c r="K42" i="227" l="1"/>
  <c r="K40" i="227"/>
  <c r="K43" i="227" s="1"/>
  <c r="B19" i="227"/>
  <c r="B18" i="227"/>
  <c r="B17" i="227"/>
  <c r="B16" i="227"/>
  <c r="H5" i="227"/>
  <c r="H6" i="227"/>
  <c r="H3" i="227"/>
  <c r="L3" i="227"/>
  <c r="K12" i="227" l="1"/>
  <c r="K11" i="227"/>
  <c r="K10" i="227"/>
  <c r="K9" i="227"/>
  <c r="K8" i="227"/>
  <c r="J12" i="227"/>
  <c r="J11" i="227"/>
  <c r="J10" i="227"/>
  <c r="J9" i="227"/>
  <c r="J4" i="227"/>
  <c r="J5" i="227"/>
  <c r="L12" i="227"/>
  <c r="L11" i="227"/>
  <c r="L10" i="227"/>
  <c r="L9" i="227"/>
  <c r="L8" i="227"/>
  <c r="L5" i="227"/>
  <c r="L6" i="227"/>
  <c r="L4" i="227"/>
  <c r="B5" i="228"/>
  <c r="I7" i="227"/>
  <c r="K7" i="227" l="1"/>
  <c r="B2" i="228"/>
  <c r="C4" i="228" s="1"/>
  <c r="D4" i="228" s="1"/>
  <c r="I4" i="227" s="1"/>
  <c r="E17" i="227" s="1"/>
  <c r="J17" i="227" s="1"/>
  <c r="K17" i="227" s="1"/>
  <c r="C35" i="227" s="1"/>
  <c r="M11" i="227"/>
  <c r="N11" i="227" s="1"/>
  <c r="Q11" i="227" s="1"/>
  <c r="J7" i="227"/>
  <c r="M9" i="227"/>
  <c r="M8" i="227"/>
  <c r="N8" i="227" s="1"/>
  <c r="M10" i="227"/>
  <c r="N10" i="227" s="1"/>
  <c r="M12" i="227"/>
  <c r="N12" i="227" s="1"/>
  <c r="K4" i="227" l="1"/>
  <c r="M4" i="227" s="1"/>
  <c r="B35" i="227"/>
  <c r="G17" i="227"/>
  <c r="C6" i="228"/>
  <c r="D6" i="228" s="1"/>
  <c r="I6" i="227" s="1"/>
  <c r="E19" i="227" s="1"/>
  <c r="J19" i="227" s="1"/>
  <c r="C3" i="228"/>
  <c r="D3" i="228" s="1"/>
  <c r="I3" i="227" s="1"/>
  <c r="K3" i="227" s="1"/>
  <c r="M3" i="227" s="1"/>
  <c r="C5" i="228"/>
  <c r="D5" i="228" s="1"/>
  <c r="I5" i="227" s="1"/>
  <c r="G19" i="227"/>
  <c r="N9" i="227"/>
  <c r="M7" i="227"/>
  <c r="F17" i="227"/>
  <c r="N4" i="227"/>
  <c r="B6" i="227"/>
  <c r="B7" i="227"/>
  <c r="N3" i="227" l="1"/>
  <c r="F16" i="227"/>
  <c r="E16" i="227"/>
  <c r="K6" i="227"/>
  <c r="I2" i="227"/>
  <c r="I13" i="227" s="1"/>
  <c r="E18" i="227"/>
  <c r="K5" i="227"/>
  <c r="M5" i="227" s="1"/>
  <c r="J16" i="227"/>
  <c r="G16" i="227"/>
  <c r="K19" i="227"/>
  <c r="C37" i="227" s="1"/>
  <c r="B37" i="227"/>
  <c r="N7" i="227"/>
  <c r="H17" i="227"/>
  <c r="B2" i="227"/>
  <c r="B13" i="227" s="1"/>
  <c r="J6" i="227"/>
  <c r="F18" i="227" l="1"/>
  <c r="N5" i="227"/>
  <c r="J18" i="227"/>
  <c r="G18" i="227"/>
  <c r="G20" i="227" s="1"/>
  <c r="K2" i="227"/>
  <c r="K13" i="227" s="1"/>
  <c r="B34" i="227"/>
  <c r="K16" i="227"/>
  <c r="C34" i="227" s="1"/>
  <c r="J20" i="227"/>
  <c r="K20" i="227" s="1"/>
  <c r="H16" i="227"/>
  <c r="M6" i="227"/>
  <c r="J2" i="227"/>
  <c r="J13" i="227" s="1"/>
  <c r="K18" i="227" l="1"/>
  <c r="C36" i="227" s="1"/>
  <c r="B36" i="227"/>
  <c r="B44" i="227" s="1"/>
  <c r="C44" i="227" s="1"/>
  <c r="H18" i="227"/>
  <c r="N6" i="227"/>
  <c r="F19" i="227"/>
  <c r="M2" i="227"/>
  <c r="M13" i="227" s="1"/>
  <c r="N14" i="227" l="1"/>
  <c r="Q14" i="227"/>
  <c r="F46" i="227" s="1"/>
  <c r="N2" i="227"/>
  <c r="N13" i="227" s="1"/>
  <c r="P6" i="227" s="1"/>
  <c r="O6" i="227" s="1"/>
  <c r="Q6" i="227" s="1"/>
  <c r="F20" i="227"/>
  <c r="H19" i="227"/>
  <c r="H20" i="227" s="1"/>
  <c r="L20" i="227" s="1"/>
  <c r="E34" i="227" s="1"/>
  <c r="F34" i="227" s="1"/>
  <c r="E35" i="227" l="1"/>
  <c r="P4" i="227"/>
  <c r="O4" i="227" s="1"/>
  <c r="Q4" i="227" s="1"/>
  <c r="P12" i="227"/>
  <c r="O12" i="227" s="1"/>
  <c r="Q12" i="227" s="1"/>
  <c r="P8" i="227"/>
  <c r="O8" i="227" s="1"/>
  <c r="P10" i="227"/>
  <c r="O10" i="227" s="1"/>
  <c r="Q10" i="227" s="1"/>
  <c r="P3" i="227"/>
  <c r="O3" i="227" s="1"/>
  <c r="P5" i="227"/>
  <c r="O5" i="227" s="1"/>
  <c r="Q5" i="227" s="1"/>
  <c r="P9" i="227"/>
  <c r="O9" i="227" s="1"/>
  <c r="Q9" i="227" s="1"/>
  <c r="E36" i="227" l="1"/>
  <c r="F35" i="227"/>
  <c r="Q3" i="227"/>
  <c r="Q2" i="227" s="1"/>
  <c r="O2" i="227"/>
  <c r="Q8" i="227"/>
  <c r="Q7" i="227" s="1"/>
  <c r="O7" i="227"/>
  <c r="E37" i="227" l="1"/>
  <c r="F37" i="227" s="1"/>
  <c r="F36" i="227"/>
  <c r="Q13" i="227"/>
  <c r="B23" i="227" l="1"/>
  <c r="D23" i="227" s="1"/>
  <c r="J23" i="227" l="1"/>
  <c r="E43" i="227" s="1"/>
  <c r="F43" i="227" s="1"/>
  <c r="C29" i="227"/>
  <c r="M29" i="227" s="1"/>
  <c r="C27" i="227"/>
  <c r="M27" i="227" s="1"/>
  <c r="E40" i="227" s="1"/>
  <c r="F40" i="227" s="1"/>
  <c r="C26" i="227"/>
  <c r="C28" i="227"/>
  <c r="M28" i="227" s="1"/>
  <c r="E41" i="227" s="1"/>
  <c r="F41" i="227" s="1"/>
  <c r="C30" i="227" l="1"/>
  <c r="F45" i="227" s="1"/>
  <c r="M26" i="227"/>
  <c r="E39" i="227" s="1"/>
  <c r="F39" i="227" s="1"/>
  <c r="F44" i="227" s="1"/>
  <c r="L43" i="227" s="1"/>
</calcChain>
</file>

<file path=xl/sharedStrings.xml><?xml version="1.0" encoding="utf-8"?>
<sst xmlns="http://schemas.openxmlformats.org/spreadsheetml/2006/main" count="778" uniqueCount="317">
  <si>
    <t>г. Москва</t>
  </si>
  <si>
    <t>Ростовская область</t>
  </si>
  <si>
    <t>Республика Дагестан</t>
  </si>
  <si>
    <t>Краснодарский край</t>
  </si>
  <si>
    <t>Московская область</t>
  </si>
  <si>
    <t>Республика Саха (Якутия)</t>
  </si>
  <si>
    <t>Калининградская область</t>
  </si>
  <si>
    <t>Ямало-Ненецкий автономный округ</t>
  </si>
  <si>
    <t>Ивановская область</t>
  </si>
  <si>
    <t>Карачаево-Черкесская Республика</t>
  </si>
  <si>
    <t>Республика Татарстан</t>
  </si>
  <si>
    <t>Сети</t>
  </si>
  <si>
    <t>Чувашская Республика</t>
  </si>
  <si>
    <t>Прочие потребители
от 10 МВт</t>
  </si>
  <si>
    <t>Прочие потребители
от 670 кВт до 10 МВт</t>
  </si>
  <si>
    <t>Прочие потребители
от 150 кВт до 670 кВт</t>
  </si>
  <si>
    <t>Прочие потребители
до 150 кВт</t>
  </si>
  <si>
    <t>Население в селах</t>
  </si>
  <si>
    <t>Население в городах</t>
  </si>
  <si>
    <t xml:space="preserve">г.Санкт-Петербург </t>
  </si>
  <si>
    <t xml:space="preserve">Тюменская область без автономных округов  </t>
  </si>
  <si>
    <t>Ненецкий автономный округ</t>
  </si>
  <si>
    <t>ИКУ</t>
  </si>
  <si>
    <t>Потребители, приравненные к населению, за исключением ИКУ</t>
  </si>
  <si>
    <t>Группа ГП</t>
  </si>
  <si>
    <t>Сумма A7-A9</t>
  </si>
  <si>
    <t>Все</t>
  </si>
  <si>
    <t>Тульская область, Самарская область, Белгородская область</t>
  </si>
  <si>
    <t>Чеченская Республика, Республика Адыгея</t>
  </si>
  <si>
    <t>Республика Северная Осетия-Алания, Республика Ингушетия, Кабардино-Балкарская Республика</t>
  </si>
  <si>
    <t>Ханты-Мансийский автономный округ, Тюменская область</t>
  </si>
  <si>
    <t>Хабаровский край, Республика Коми, Приморский край, Мурманская область</t>
  </si>
  <si>
    <t>Свердловская область, Новосибирская область</t>
  </si>
  <si>
    <t>Республика Карелия, Ленинградская область, Красноярский край, Кемеровская область, Иркутская область, Еврейская автономная область, Амурская область</t>
  </si>
  <si>
    <t>Челябинская область, Нижегородская область</t>
  </si>
  <si>
    <t>Томская область, Смоленская область, Республика Бурятия, Псковская область, Пермский край, Омская область, Новгородская область, Липецкая область, Забайкальский край, Вологодская область, Астраханская область, Архангельская область</t>
  </si>
  <si>
    <t>Ярославская область, Тверская область, Саратовская область, Рязанская область, Республика Хакасия, Республика Башкортостан, Калужская область, Воронежская область, Волгоградская область, Владимирская область</t>
  </si>
  <si>
    <t>Ульяновская область, Удмуртская Республика, Тамбовская область, Республика Мордовия, Орловская область, Оренбургская область, Курская область, Курганская область, Костромская область, Кировская область</t>
  </si>
  <si>
    <t>Республика Тыва, Республика Калмыкия, Пензенская область, Алтайский край</t>
  </si>
  <si>
    <t>Ставропольский край, Республика Марий Эл , Республика Алтай, Брянская область</t>
  </si>
  <si>
    <t>Субъект Федерации</t>
  </si>
  <si>
    <t>1М</t>
  </si>
  <si>
    <t>2М</t>
  </si>
  <si>
    <t>1С</t>
  </si>
  <si>
    <t>1К</t>
  </si>
  <si>
    <t>2С</t>
  </si>
  <si>
    <t>2К</t>
  </si>
  <si>
    <t>3М</t>
  </si>
  <si>
    <t>3С</t>
  </si>
  <si>
    <t>3К</t>
  </si>
  <si>
    <t>4М</t>
  </si>
  <si>
    <t>4С</t>
  </si>
  <si>
    <t>4К</t>
  </si>
  <si>
    <t>5М</t>
  </si>
  <si>
    <t>5С</t>
  </si>
  <si>
    <t>5К</t>
  </si>
  <si>
    <t>6М</t>
  </si>
  <si>
    <t>6С</t>
  </si>
  <si>
    <t>6К</t>
  </si>
  <si>
    <t>7М</t>
  </si>
  <si>
    <t>7С</t>
  </si>
  <si>
    <t>7К</t>
  </si>
  <si>
    <t>8М</t>
  </si>
  <si>
    <t>8С</t>
  </si>
  <si>
    <t>8К</t>
  </si>
  <si>
    <t>9М</t>
  </si>
  <si>
    <t>9С</t>
  </si>
  <si>
    <t>9К</t>
  </si>
  <si>
    <t>10М</t>
  </si>
  <si>
    <t>10С</t>
  </si>
  <si>
    <t>10К</t>
  </si>
  <si>
    <t>11М</t>
  </si>
  <si>
    <t>11С</t>
  </si>
  <si>
    <t>11К</t>
  </si>
  <si>
    <t>12М</t>
  </si>
  <si>
    <t>12С</t>
  </si>
  <si>
    <t>12К</t>
  </si>
  <si>
    <t>13М</t>
  </si>
  <si>
    <t>13С</t>
  </si>
  <si>
    <t>13К</t>
  </si>
  <si>
    <t>14М</t>
  </si>
  <si>
    <t>14С</t>
  </si>
  <si>
    <t>14К</t>
  </si>
  <si>
    <t>15М</t>
  </si>
  <si>
    <t>15С</t>
  </si>
  <si>
    <t>15К</t>
  </si>
  <si>
    <t>16М</t>
  </si>
  <si>
    <t>16С</t>
  </si>
  <si>
    <t>16К</t>
  </si>
  <si>
    <t>17М</t>
  </si>
  <si>
    <t>17С</t>
  </si>
  <si>
    <t>17К</t>
  </si>
  <si>
    <t>18М</t>
  </si>
  <si>
    <t>18С</t>
  </si>
  <si>
    <t>18К</t>
  </si>
  <si>
    <t>19М</t>
  </si>
  <si>
    <t>19С</t>
  </si>
  <si>
    <t>19К</t>
  </si>
  <si>
    <t>20М</t>
  </si>
  <si>
    <t>20С</t>
  </si>
  <si>
    <t>20К</t>
  </si>
  <si>
    <t>21М</t>
  </si>
  <si>
    <t>21С</t>
  </si>
  <si>
    <t>21К</t>
  </si>
  <si>
    <t>22М</t>
  </si>
  <si>
    <t>22С</t>
  </si>
  <si>
    <t>22К</t>
  </si>
  <si>
    <t>23М</t>
  </si>
  <si>
    <t>23С</t>
  </si>
  <si>
    <t>23К</t>
  </si>
  <si>
    <t>24М</t>
  </si>
  <si>
    <t>24С</t>
  </si>
  <si>
    <t>24К</t>
  </si>
  <si>
    <t>25М</t>
  </si>
  <si>
    <t>25С</t>
  </si>
  <si>
    <t>25К</t>
  </si>
  <si>
    <t>26М</t>
  </si>
  <si>
    <t>26С</t>
  </si>
  <si>
    <t>26К</t>
  </si>
  <si>
    <t>27М</t>
  </si>
  <si>
    <t>27С</t>
  </si>
  <si>
    <t>27К</t>
  </si>
  <si>
    <t>28М</t>
  </si>
  <si>
    <t>28С</t>
  </si>
  <si>
    <t>28К</t>
  </si>
  <si>
    <t>Уровень качества</t>
  </si>
  <si>
    <t>Таблица 1.3. Значения коэффициентов, учитывающих влияние требований по качеству услуг на затраты гарантирующих поставщиков, применяемых при определении НВВ ГП по методу сравнения аналогов</t>
  </si>
  <si>
    <t>Таблица 1.2. Значения коэффициентов затрат, применяемых при определении НВВ ГП по методу сравнения аналогов</t>
  </si>
  <si>
    <t>Сумма A1-A6</t>
  </si>
  <si>
    <t>A10</t>
  </si>
  <si>
    <t xml:space="preserve">Таблица 1.1. Наименования групп гарантирующих поставщиков, обладающих одинаковыми значениями коэффициентов затрат, и критерии отнесения гарантирующих поставщиков в группы гарантирующих поставщиков, обладающих одинаковыми значениями коэффициентов затрат </t>
  </si>
  <si>
    <t>группы потребителей</t>
  </si>
  <si>
    <t>население</t>
  </si>
  <si>
    <t>прочие</t>
  </si>
  <si>
    <t>менее 150 кВт</t>
  </si>
  <si>
    <t>от 150 кВт до 670 кВт</t>
  </si>
  <si>
    <t>от 670 кВт до 10 МВт</t>
  </si>
  <si>
    <t>более 10 МВт</t>
  </si>
  <si>
    <t>сети</t>
  </si>
  <si>
    <t>с</t>
  </si>
  <si>
    <t>к</t>
  </si>
  <si>
    <t xml:space="preserve">население в городах </t>
  </si>
  <si>
    <t>население в селах</t>
  </si>
  <si>
    <t>приравненные</t>
  </si>
  <si>
    <t>а1-а6</t>
  </si>
  <si>
    <t>а7-а9,%</t>
  </si>
  <si>
    <t>а10,%</t>
  </si>
  <si>
    <t>Ц, руб./кВтч.</t>
  </si>
  <si>
    <t>э,кВтч.</t>
  </si>
  <si>
    <t>итого</t>
  </si>
  <si>
    <t>НВВ, руб.</t>
  </si>
  <si>
    <t>(1-а10)</t>
  </si>
  <si>
    <t>с*к*а1-6*G</t>
  </si>
  <si>
    <t>Ц*э*а7-9</t>
  </si>
  <si>
    <t>Население</t>
  </si>
  <si>
    <t>Ц инд, руб./кВтч.</t>
  </si>
  <si>
    <r>
      <t xml:space="preserve">Ц </t>
    </r>
    <r>
      <rPr>
        <vertAlign val="superscript"/>
        <sz val="10"/>
        <color theme="1"/>
        <rFont val="Arial"/>
        <family val="2"/>
        <charset val="204"/>
      </rPr>
      <t>пу,</t>
    </r>
    <r>
      <rPr>
        <sz val="10"/>
        <color theme="1"/>
        <rFont val="Arial"/>
        <family val="2"/>
        <charset val="204"/>
      </rPr>
      <t xml:space="preserve"> руб./кВтч.</t>
    </r>
  </si>
  <si>
    <t>Э, кВтч.</t>
  </si>
  <si>
    <t>НВВ (аналог), руб.</t>
  </si>
  <si>
    <t>НВВ (аналог)</t>
  </si>
  <si>
    <t>0,01*Э</t>
  </si>
  <si>
    <t>НВВ,руб.</t>
  </si>
  <si>
    <t>СН 1 пг, руб./кВтч.</t>
  </si>
  <si>
    <t>Э 1 пг, кВтч</t>
  </si>
  <si>
    <t>Э2 пг, кВтч.</t>
  </si>
  <si>
    <t>СН 2 пг, руб./кВтч.</t>
  </si>
  <si>
    <t>К рег</t>
  </si>
  <si>
    <t>ДП,%</t>
  </si>
  <si>
    <t>СН 1г.,руб./кВтч.</t>
  </si>
  <si>
    <t>Эобщ</t>
  </si>
  <si>
    <t>Э проч</t>
  </si>
  <si>
    <t>N общ</t>
  </si>
  <si>
    <t>N  проч</t>
  </si>
  <si>
    <t>Э нас,МВтч</t>
  </si>
  <si>
    <t>N нас,МВт</t>
  </si>
  <si>
    <t>N1 пг, МВт</t>
  </si>
  <si>
    <t>N2 пг, МВт</t>
  </si>
  <si>
    <t>Ц (мощность) руб./МВт</t>
  </si>
  <si>
    <t>СН 2 пг, руб./кВт.</t>
  </si>
  <si>
    <t>ПРОВЕРКА</t>
  </si>
  <si>
    <t>НВВ, руб.(50%)</t>
  </si>
  <si>
    <t>НВВ, руб. утвржд.</t>
  </si>
  <si>
    <t>НВВ, руб. итог</t>
  </si>
  <si>
    <t>G,%</t>
  </si>
  <si>
    <t>энергия</t>
  </si>
  <si>
    <t>мощность</t>
  </si>
  <si>
    <t>СН 1 пг, руб./кВт.</t>
  </si>
  <si>
    <t>Расчет сбытовой надбавки ГП для населения</t>
  </si>
  <si>
    <t>=</t>
  </si>
  <si>
    <t>ЭВнас</t>
  </si>
  <si>
    <t>население прожив. в городских нас. пунктах</t>
  </si>
  <si>
    <t>население прожив. в сельских нас. пунктах</t>
  </si>
  <si>
    <t>прочие приравненные к населению</t>
  </si>
  <si>
    <t>группа потребителей</t>
  </si>
  <si>
    <t>№</t>
  </si>
  <si>
    <t>точки поставки</t>
  </si>
  <si>
    <t>базовый</t>
  </si>
  <si>
    <t>высокий</t>
  </si>
  <si>
    <t>1 вариант</t>
  </si>
  <si>
    <t>2 вариант</t>
  </si>
  <si>
    <t>Эталонны затрат</t>
  </si>
  <si>
    <t>группа ГП</t>
  </si>
  <si>
    <t>населения</t>
  </si>
  <si>
    <t>в городах</t>
  </si>
  <si>
    <t>в селах</t>
  </si>
  <si>
    <t>5M</t>
  </si>
  <si>
    <r>
      <t>%Кред</t>
    </r>
    <r>
      <rPr>
        <vertAlign val="superscript"/>
        <sz val="14"/>
        <color theme="1"/>
        <rFont val="Arial"/>
        <family val="2"/>
        <charset val="204"/>
      </rPr>
      <t>нас</t>
    </r>
  </si>
  <si>
    <r>
      <t>РСД</t>
    </r>
    <r>
      <rPr>
        <vertAlign val="superscript"/>
        <sz val="14"/>
        <color theme="1"/>
        <rFont val="Arial"/>
        <family val="2"/>
        <charset val="204"/>
      </rPr>
      <t>нас</t>
    </r>
  </si>
  <si>
    <t>Нрнас</t>
  </si>
  <si>
    <t>РПП</t>
  </si>
  <si>
    <r>
      <t>Рез</t>
    </r>
    <r>
      <rPr>
        <vertAlign val="subscript"/>
        <sz val="14"/>
        <color theme="1"/>
        <rFont val="Arial"/>
        <family val="2"/>
        <charset val="204"/>
      </rPr>
      <t>i-2</t>
    </r>
    <r>
      <rPr>
        <vertAlign val="superscript"/>
        <sz val="14"/>
        <color theme="1"/>
        <rFont val="Arial"/>
        <family val="2"/>
        <charset val="204"/>
      </rPr>
      <t>нас</t>
    </r>
  </si>
  <si>
    <r>
      <t>Рез</t>
    </r>
    <r>
      <rPr>
        <vertAlign val="subscript"/>
        <sz val="14"/>
        <color theme="1"/>
        <rFont val="Arial"/>
        <family val="2"/>
        <charset val="204"/>
      </rPr>
      <t>i-1-9мес</t>
    </r>
    <r>
      <rPr>
        <vertAlign val="superscript"/>
        <sz val="14"/>
        <color theme="1"/>
        <rFont val="Arial"/>
        <family val="2"/>
        <charset val="204"/>
      </rPr>
      <t>нас</t>
    </r>
  </si>
  <si>
    <r>
      <t>ЭОЗ</t>
    </r>
    <r>
      <rPr>
        <vertAlign val="superscript"/>
        <sz val="14"/>
        <color theme="1"/>
        <rFont val="Arial"/>
        <family val="2"/>
        <charset val="204"/>
      </rPr>
      <t>нас</t>
    </r>
  </si>
  <si>
    <t xml:space="preserve">Сравнение выручки </t>
  </si>
  <si>
    <t>ЭОЗнас/Эвнас</t>
  </si>
  <si>
    <r>
      <t>НВВ</t>
    </r>
    <r>
      <rPr>
        <b/>
        <vertAlign val="superscript"/>
        <sz val="14"/>
        <color theme="1"/>
        <rFont val="Arial"/>
        <family val="2"/>
        <charset val="204"/>
      </rPr>
      <t>нас</t>
    </r>
  </si>
  <si>
    <t>Сравнение</t>
  </si>
  <si>
    <r>
      <t>НВВ/Э</t>
    </r>
    <r>
      <rPr>
        <vertAlign val="superscript"/>
        <sz val="14"/>
        <color theme="1"/>
        <rFont val="Arial"/>
        <family val="2"/>
        <charset val="204"/>
      </rPr>
      <t>нас</t>
    </r>
  </si>
  <si>
    <r>
      <t xml:space="preserve">СН </t>
    </r>
    <r>
      <rPr>
        <vertAlign val="subscript"/>
        <sz val="14"/>
        <color theme="1"/>
        <rFont val="Arial"/>
        <family val="2"/>
        <charset val="204"/>
      </rPr>
      <t>2полуг</t>
    </r>
  </si>
  <si>
    <t>сбытовых над.</t>
  </si>
  <si>
    <r>
      <t>СН</t>
    </r>
    <r>
      <rPr>
        <b/>
        <vertAlign val="subscript"/>
        <sz val="14"/>
        <color theme="1"/>
        <rFont val="Arial"/>
        <family val="2"/>
        <charset val="204"/>
      </rPr>
      <t>1 п/г</t>
    </r>
    <r>
      <rPr>
        <b/>
        <vertAlign val="superscript"/>
        <sz val="14"/>
        <color theme="1"/>
        <rFont val="Arial"/>
        <family val="2"/>
        <charset val="204"/>
      </rPr>
      <t>нас</t>
    </r>
  </si>
  <si>
    <r>
      <t>СН</t>
    </r>
    <r>
      <rPr>
        <b/>
        <vertAlign val="subscript"/>
        <sz val="14"/>
        <color theme="1"/>
        <rFont val="Arial"/>
        <family val="2"/>
        <charset val="204"/>
      </rPr>
      <t>2 п/г</t>
    </r>
    <r>
      <rPr>
        <b/>
        <vertAlign val="superscript"/>
        <sz val="14"/>
        <color theme="1"/>
        <rFont val="Arial"/>
        <family val="2"/>
        <charset val="204"/>
      </rPr>
      <t>нас</t>
    </r>
  </si>
  <si>
    <t>Расчет сбытовой надбавки ГП для прочих</t>
  </si>
  <si>
    <t>повышенный</t>
  </si>
  <si>
    <r>
      <t>СН</t>
    </r>
    <r>
      <rPr>
        <b/>
        <vertAlign val="subscript"/>
        <sz val="14"/>
        <color theme="1"/>
        <rFont val="Arial"/>
        <family val="2"/>
        <charset val="204"/>
      </rPr>
      <t>1 п/г</t>
    </r>
  </si>
  <si>
    <r>
      <t>СН</t>
    </r>
    <r>
      <rPr>
        <b/>
        <vertAlign val="subscript"/>
        <sz val="14"/>
        <color theme="1"/>
        <rFont val="Arial"/>
        <family val="2"/>
        <charset val="204"/>
      </rPr>
      <t>2 п/г</t>
    </r>
  </si>
  <si>
    <t>НВВ</t>
  </si>
  <si>
    <t>ЭВ</t>
  </si>
  <si>
    <r>
      <t>Рез</t>
    </r>
    <r>
      <rPr>
        <vertAlign val="subscript"/>
        <sz val="14"/>
        <color theme="1"/>
        <rFont val="Arial"/>
        <family val="2"/>
        <charset val="204"/>
      </rPr>
      <t>i-2</t>
    </r>
  </si>
  <si>
    <r>
      <t>Рез</t>
    </r>
    <r>
      <rPr>
        <vertAlign val="subscript"/>
        <sz val="14"/>
        <color theme="1"/>
        <rFont val="Arial"/>
        <family val="2"/>
        <charset val="204"/>
      </rPr>
      <t>i-1-9мес</t>
    </r>
  </si>
  <si>
    <t>ЭОЗ</t>
  </si>
  <si>
    <t>ЭОЗ/Эв</t>
  </si>
  <si>
    <t>НВВ/Э</t>
  </si>
  <si>
    <t>Расчет сбытовой надбавки ГП для сетей</t>
  </si>
  <si>
    <t>не менее 10 МВт</t>
  </si>
  <si>
    <t>Прочие</t>
  </si>
  <si>
    <t>менее 670 кВт</t>
  </si>
  <si>
    <t>Сетевые организации</t>
  </si>
  <si>
    <t>Наименование</t>
  </si>
  <si>
    <t>№ п/п</t>
  </si>
  <si>
    <t>год</t>
  </si>
  <si>
    <t>(наименование гарантирующего поставщика)</t>
  </si>
  <si>
    <t>на</t>
  </si>
  <si>
    <t>Наименование групп потребителей</t>
  </si>
  <si>
    <t>Всего</t>
  </si>
  <si>
    <t xml:space="preserve">Население </t>
  </si>
  <si>
    <t>Проживающее в сельских населенных пунктах</t>
  </si>
  <si>
    <t>Проживающее в городских населенных пунктах</t>
  </si>
  <si>
    <t>Исполнители коммунальных услуг ( в соотв. с п.71(1) ПП1178)</t>
  </si>
  <si>
    <t>Иные потребители, приравненные к населению</t>
  </si>
  <si>
    <t>Итого население</t>
  </si>
  <si>
    <t>от 150 до 670 кВт</t>
  </si>
  <si>
    <t>Итого прочие</t>
  </si>
  <si>
    <t>1.</t>
  </si>
  <si>
    <t>1 полугодие 2018 года</t>
  </si>
  <si>
    <t>2 полугодие 2018 года</t>
  </si>
  <si>
    <t>2.</t>
  </si>
  <si>
    <t>Мощность</t>
  </si>
  <si>
    <t xml:space="preserve">3. </t>
  </si>
  <si>
    <t>Количество точек поставки</t>
  </si>
  <si>
    <t>3.1.</t>
  </si>
  <si>
    <t>Приведенное количество точек поставки</t>
  </si>
  <si>
    <t>3.2.</t>
  </si>
  <si>
    <t>Группа масштаба деятельности</t>
  </si>
  <si>
    <t>4.</t>
  </si>
  <si>
    <t>Эталонная выручка (Постоянные компоненты), всего в руб.</t>
  </si>
  <si>
    <t>5.</t>
  </si>
  <si>
    <t>Эталонная выручка (Переменные компоненты), всего в руб.</t>
  </si>
  <si>
    <t>5.1.</t>
  </si>
  <si>
    <t>Расходы на уплату процентов по заемным средствам</t>
  </si>
  <si>
    <t>5.1.1.</t>
  </si>
  <si>
    <t>Доля (не более 1/12) выручки от продажи эл.энергии, используемая для определения величины достаточного оборотного капитала</t>
  </si>
  <si>
    <t>х</t>
  </si>
  <si>
    <t>5.2.</t>
  </si>
  <si>
    <t>Расходы на формирование резерва по сомнительным долгам</t>
  </si>
  <si>
    <t>5.3.</t>
  </si>
  <si>
    <t>Расчетная предпринимательская прибыль ГП</t>
  </si>
  <si>
    <t>6.</t>
  </si>
  <si>
    <t>Неподконтрольные расходы, всего, в том числе:</t>
  </si>
  <si>
    <t>6.1.</t>
  </si>
  <si>
    <t>Амортизация основных средств и нематериальных активов, рассчитанная исходя из первоначальной стоимости имущества и максимального срока его полезного использования</t>
  </si>
  <si>
    <t>6.2.</t>
  </si>
  <si>
    <t>Налоги (включая налог на прибыль)</t>
  </si>
  <si>
    <t>6.3.</t>
  </si>
  <si>
    <t>Капитальные вложения из прибыли в соответствии с утвержденной в установленном порядке инвестиционной программой ГП</t>
  </si>
  <si>
    <t>6.4.</t>
  </si>
  <si>
    <t>Расходы на списание безнадежной к взысканию дебиторской задолженности сетевых организаций</t>
  </si>
  <si>
    <t>7.</t>
  </si>
  <si>
    <t xml:space="preserve">Выпадающие, недополученные (излишне полученные) доходы от осуществления деятельности в качестве гарантирующего поставщика за период, предшествующий базовому периоду регулирования, обусловленные: </t>
  </si>
  <si>
    <t>7.1.</t>
  </si>
  <si>
    <t>отклонением величины фактических непоконтрольных расходов от учтенных при установлении сбытовых надбавок ГП на 2016 год, в том числе:</t>
  </si>
  <si>
    <t>Амортизация основных средств и нематериальных активов</t>
  </si>
  <si>
    <t>Капитальные вложения из прибыли</t>
  </si>
  <si>
    <t>7.2.</t>
  </si>
  <si>
    <t>разницей между сбытовой надбавкой, установленной для организации, которой был присвоен статус гарантирующего поставщика, и сбытовой надбавкой организации, ранее осуществлявшей функции гарантирующего поставщика, на период с момента присвоения статуса гарантирующего поставщика до момента установления сбытовой надбавки для организации, которой был присвоен статус гарантирующего поставщика</t>
  </si>
  <si>
    <t>7.3.</t>
  </si>
  <si>
    <t xml:space="preserve">отклонением величины фактического полезного отпуска от величины, учтенной при установлении сбытовых надбавок ГП </t>
  </si>
  <si>
    <t>7.4.</t>
  </si>
  <si>
    <t>процедурой принятия гарантирующим поставщиком на обслуживание покупателей (потребителей) электрической энергии в случаях, установленных пунктом 15 Основных положений функционирования розничных рынков электрической энергии</t>
  </si>
  <si>
    <t>7.5.</t>
  </si>
  <si>
    <t>установлением цен (тарифов) на электрическую энергию (мощность), поставляемую населению и приравненным к нему категориям потребителей</t>
  </si>
  <si>
    <t>Итого Необходимая валовая выручка, рассчитанная с использованием метода сравнения аналогов</t>
  </si>
  <si>
    <t>Предложение ГП об установлении сбытовых надбавок на 2018 год</t>
  </si>
  <si>
    <t>Сбытовые надбавок ГП на 2018 год</t>
  </si>
  <si>
    <t>до 150 кВт</t>
  </si>
  <si>
    <t>сетевые организации</t>
  </si>
  <si>
    <t>с 01 января по 30 июня 2018 года</t>
  </si>
  <si>
    <t>руб./кВт.ч</t>
  </si>
  <si>
    <t xml:space="preserve">Доходность продаж </t>
  </si>
  <si>
    <t>Коэффициент параметров деятельности ГП</t>
  </si>
  <si>
    <t>с 01 июля по 31 декабря 2018 года</t>
  </si>
  <si>
    <t>2 группа</t>
  </si>
  <si>
    <t>Объемы электрической энергии, кВтч.</t>
  </si>
  <si>
    <t>1/12</t>
  </si>
  <si>
    <t>Предложение о размере сбытовых надбавок</t>
  </si>
  <si>
    <t>не менее            10 МВт</t>
  </si>
  <si>
    <t>Общество с ограниченной ответственностью ООО "Электросбытовая компания "Ватт-Электросбыт"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</si>
</sst>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\M\o\n\t\h\ \D.\y\y\y\y"/>
    <numFmt numFmtId="165" formatCode="0.0%"/>
    <numFmt numFmtId="166" formatCode="0.0"/>
    <numFmt numFmtId="167" formatCode="_-* #,##0_р_._-;\-* #,##0_р_._-;_-* &quot;-&quot;??_р_._-;_-@_-"/>
    <numFmt numFmtId="168" formatCode="_(* #,##0.00_);_(* \(#,##0.00\);_(* &quot;-&quot;??_);_(@_)"/>
    <numFmt numFmtId="169" formatCode="_-* #,##0.00[$€-1]_-;\-* #,##0.00[$€-1]_-;_-* &quot;-&quot;??[$€-1]_-"/>
    <numFmt numFmtId="170" formatCode="General_)"/>
    <numFmt numFmtId="171" formatCode="0.0000"/>
    <numFmt numFmtId="172" formatCode="0.000"/>
    <numFmt numFmtId="173" formatCode="0.00000"/>
    <numFmt numFmtId="174" formatCode="_-* #,##0.0_р_._-;\-* #,##0.0_р_._-;_-* &quot;-&quot;??_р_._-;_-@_-"/>
    <numFmt numFmtId="175" formatCode="_-* #,##0.00000_р_._-;\-* #,##0.00000_р_._-;_-* &quot;-&quot;??_р_._-;_-@_-"/>
    <numFmt numFmtId="176" formatCode="_-* #,##0.0_р_._-;\-* #,##0.0_р_._-;_-* &quot;-&quot;?_р_._-;_-@_-"/>
    <numFmt numFmtId="177" formatCode="_-* #,##0.0000_р_._-;\-* #,##0.0000_р_._-;_-* &quot;-&quot;??_р_._-;_-@_-"/>
    <numFmt numFmtId="178" formatCode="_-* #,##0_р_._-;\-* #,##0_р_._-;_-* &quot;-&quot;?????_р_._-;_-@_-"/>
    <numFmt numFmtId="179" formatCode="#,##0.000000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&quot;$&quot;#,##0_);[Red]\(&quot;$&quot;#,##0\)"/>
    <numFmt numFmtId="185" formatCode="\$#,##0\ ;\(\$#,##0\)"/>
    <numFmt numFmtId="186" formatCode="#,##0_);[Blue]\(#,##0\)"/>
    <numFmt numFmtId="187" formatCode="_-* #,##0_đ_._-;\-* #,##0_đ_._-;_-* &quot;-&quot;_đ_._-;_-@_-"/>
    <numFmt numFmtId="188" formatCode="_-* #,##0.00_đ_._-;\-* #,##0.00_đ_._-;_-* &quot;-&quot;??_đ_._-;_-@_-"/>
    <numFmt numFmtId="189" formatCode="#,##0.00&quot; &quot;[$руб.-419];[Red]&quot;-&quot;#,##0.00&quot; &quot;[$руб.-419]"/>
    <numFmt numFmtId="190" formatCode="_-* #,##0\ _р_._-;\-* #,##0\ _р_._-;_-* &quot;-&quot;\ _р_._-;_-@_-"/>
    <numFmt numFmtId="191" formatCode="_-* #,##0.00\ _р_._-;\-* #,##0.00\ _р_._-;_-* &quot;-&quot;??\ _р_._-;_-@_-"/>
    <numFmt numFmtId="192" formatCode="#,##0.0"/>
    <numFmt numFmtId="194" formatCode="#,##0.0000"/>
    <numFmt numFmtId="195" formatCode="#,##0.00000"/>
    <numFmt numFmtId="196" formatCode="_-* #,##0_-;\-* #,##0_-;_-* &quot;-&quot;_-;_-@_-"/>
    <numFmt numFmtId="197" formatCode="_-* #,##0.00_-;\-* #,##0.00_-;_-* &quot;-&quot;??_-;_-@_-"/>
    <numFmt numFmtId="198" formatCode="_-&quot;Ј&quot;* #,##0.00_-;\-&quot;Ј&quot;* #,##0.00_-;_-&quot;Ј&quot;* &quot;-&quot;??_-;_-@_-"/>
  </numFmts>
  <fonts count="119">
    <font>
      <sz val="10"/>
      <color theme="1"/>
      <name val="Arial"/>
      <family val="2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 Cyr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Arial"/>
      <family val="2"/>
      <charset val="204"/>
    </font>
    <font>
      <sz val="10"/>
      <name val="Helv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Georgia"/>
      <family val="1"/>
      <charset val="204"/>
    </font>
    <font>
      <b/>
      <sz val="10"/>
      <color theme="1"/>
      <name val="Georgia"/>
      <family val="1"/>
      <charset val="204"/>
    </font>
    <font>
      <u/>
      <sz val="11"/>
      <color theme="10"/>
      <name val="Arial"/>
      <family val="2"/>
      <charset val="204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charset val="204"/>
    </font>
    <font>
      <sz val="10"/>
      <color theme="0"/>
      <name val="Calibri"/>
      <family val="2"/>
    </font>
    <font>
      <u/>
      <sz val="12"/>
      <color theme="1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Arial"/>
      <family val="2"/>
    </font>
    <font>
      <sz val="10"/>
      <color rgb="FF000000"/>
      <name val="Arial"/>
      <family val="2"/>
      <charset val="204"/>
    </font>
    <font>
      <sz val="9"/>
      <color theme="1"/>
      <name val="Verdana"/>
      <family val="2"/>
      <charset val="204"/>
    </font>
    <font>
      <u/>
      <sz val="10"/>
      <color theme="10"/>
      <name val="Arial"/>
      <family val="2"/>
    </font>
    <font>
      <sz val="10"/>
      <name val="Helv"/>
    </font>
    <font>
      <sz val="10"/>
      <name val="PragmaticaCTT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i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  <charset val="204"/>
    </font>
    <font>
      <sz val="10"/>
      <color rgb="FF0070C0"/>
      <name val="Arial"/>
      <family val="2"/>
    </font>
    <font>
      <b/>
      <sz val="10"/>
      <color rgb="FF0070C0"/>
      <name val="Arial"/>
      <family val="2"/>
      <charset val="204"/>
    </font>
    <font>
      <b/>
      <sz val="10"/>
      <color theme="7"/>
      <name val="Arial"/>
      <family val="2"/>
      <charset val="204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  <charset val="204"/>
    </font>
    <font>
      <vertAlign val="subscript"/>
      <sz val="14"/>
      <color theme="1"/>
      <name val="Arial"/>
      <family val="2"/>
      <charset val="204"/>
    </font>
    <font>
      <b/>
      <u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vertAlign val="superscript"/>
      <sz val="14"/>
      <color theme="1"/>
      <name val="Arial"/>
      <family val="2"/>
      <charset val="204"/>
    </font>
    <font>
      <b/>
      <vertAlign val="subscript"/>
      <sz val="14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b/>
      <sz val="11"/>
      <color indexed="52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i/>
      <u/>
      <sz val="11"/>
      <color theme="1"/>
      <name val="Arial Cyr1"/>
      <charset val="204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</font>
    <font>
      <sz val="12"/>
      <color indexed="24"/>
      <name val="Arial"/>
      <family val="2"/>
      <charset val="204"/>
    </font>
    <font>
      <sz val="11"/>
      <color theme="1"/>
      <name val="Times New Roman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4E59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4">
    <xf numFmtId="0" fontId="0" fillId="0" borderId="0"/>
    <xf numFmtId="0" fontId="17" fillId="0" borderId="0"/>
    <xf numFmtId="0" fontId="15" fillId="0" borderId="0"/>
    <xf numFmtId="0" fontId="15" fillId="0" borderId="0"/>
    <xf numFmtId="164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/>
    <xf numFmtId="0" fontId="20" fillId="0" borderId="0"/>
    <xf numFmtId="0" fontId="13" fillId="0" borderId="0"/>
    <xf numFmtId="0" fontId="16" fillId="0" borderId="0"/>
    <xf numFmtId="0" fontId="16" fillId="0" borderId="0"/>
    <xf numFmtId="43" fontId="17" fillId="0" borderId="0" applyFont="0" applyFill="0" applyBorder="0" applyAlignment="0" applyProtection="0"/>
    <xf numFmtId="0" fontId="15" fillId="0" borderId="0"/>
    <xf numFmtId="0" fontId="21" fillId="0" borderId="0"/>
    <xf numFmtId="0" fontId="15" fillId="0" borderId="0"/>
    <xf numFmtId="9" fontId="22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23" fillId="0" borderId="0"/>
    <xf numFmtId="0" fontId="12" fillId="0" borderId="0"/>
    <xf numFmtId="0" fontId="24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0" fontId="10" fillId="0" borderId="0"/>
    <xf numFmtId="0" fontId="9" fillId="0" borderId="0"/>
    <xf numFmtId="0" fontId="9" fillId="2" borderId="3" applyNumberFormat="0" applyFont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9" fillId="2" borderId="3" applyNumberFormat="0" applyFont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2" borderId="3" applyNumberFormat="0" applyFont="0" applyAlignment="0" applyProtection="0"/>
    <xf numFmtId="0" fontId="17" fillId="0" borderId="0"/>
    <xf numFmtId="0" fontId="31" fillId="3" borderId="0" applyNumberFormat="0" applyBorder="0" applyAlignment="0" applyProtection="0"/>
    <xf numFmtId="41" fontId="15" fillId="0" borderId="0"/>
    <xf numFmtId="41" fontId="1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5" fillId="0" borderId="0"/>
    <xf numFmtId="43" fontId="15" fillId="0" borderId="0"/>
    <xf numFmtId="43" fontId="15" fillId="0" borderId="0" applyFont="0" applyFill="0" applyBorder="0" applyAlignment="0" applyProtection="0"/>
    <xf numFmtId="42" fontId="15" fillId="0" borderId="0"/>
    <xf numFmtId="42" fontId="15" fillId="0" borderId="0" applyFont="0" applyFill="0" applyBorder="0" applyAlignment="0" applyProtection="0"/>
    <xf numFmtId="44" fontId="15" fillId="0" borderId="0"/>
    <xf numFmtId="44" fontId="15" fillId="0" borderId="0"/>
    <xf numFmtId="44" fontId="15" fillId="0" borderId="0"/>
    <xf numFmtId="44" fontId="15" fillId="0" borderId="0"/>
    <xf numFmtId="44" fontId="15" fillId="0" borderId="0"/>
    <xf numFmtId="44" fontId="15" fillId="0" borderId="0"/>
    <xf numFmtId="44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/>
    <xf numFmtId="0" fontId="15" fillId="0" borderId="0"/>
    <xf numFmtId="0" fontId="9" fillId="0" borderId="0"/>
    <xf numFmtId="0" fontId="33" fillId="0" borderId="0">
      <alignment vertical="center"/>
      <protection locked="0"/>
    </xf>
    <xf numFmtId="0" fontId="24" fillId="0" borderId="0"/>
    <xf numFmtId="0" fontId="30" fillId="0" borderId="0"/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/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33" fillId="0" borderId="0">
      <alignment vertical="center"/>
      <protection locked="0"/>
    </xf>
    <xf numFmtId="0" fontId="25" fillId="0" borderId="0"/>
    <xf numFmtId="0" fontId="9" fillId="0" borderId="0"/>
    <xf numFmtId="0" fontId="15" fillId="0" borderId="0"/>
    <xf numFmtId="0" fontId="17" fillId="0" borderId="0"/>
    <xf numFmtId="0" fontId="33" fillId="0" borderId="0">
      <alignment vertical="center"/>
      <protection locked="0"/>
    </xf>
    <xf numFmtId="0" fontId="25" fillId="0" borderId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0" fontId="2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35" fillId="0" borderId="0">
      <protection locked="0"/>
    </xf>
    <xf numFmtId="0" fontId="25" fillId="0" borderId="0"/>
    <xf numFmtId="0" fontId="15" fillId="0" borderId="0"/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0" fontId="25" fillId="0" borderId="0"/>
    <xf numFmtId="0" fontId="25" fillId="0" borderId="0"/>
    <xf numFmtId="0" fontId="35" fillId="0" borderId="0">
      <protection locked="0"/>
    </xf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34" fillId="6" borderId="0" applyNumberFormat="0" applyFont="0" applyFill="0" applyBorder="0" applyAlignment="0" applyProtection="0">
      <alignment horizontal="left" vertical="center" wrapText="1"/>
    </xf>
    <xf numFmtId="0" fontId="15" fillId="0" borderId="0"/>
    <xf numFmtId="49" fontId="34" fillId="6" borderId="0" applyNumberFormat="0" applyFont="0" applyFill="0" applyBorder="0" applyAlignment="0" applyProtection="0">
      <alignment horizontal="left" vertical="center" wrapText="1"/>
    </xf>
    <xf numFmtId="169" fontId="17" fillId="0" borderId="0"/>
    <xf numFmtId="0" fontId="36" fillId="0" borderId="0"/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49" fontId="34" fillId="6" borderId="0" applyNumberFormat="0" applyFont="0" applyFill="0" applyBorder="0" applyAlignment="0" applyProtection="0">
      <alignment horizontal="left" vertical="center" wrapText="1"/>
    </xf>
    <xf numFmtId="168" fontId="9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" fillId="0" borderId="0"/>
    <xf numFmtId="0" fontId="37" fillId="0" borderId="0" applyNumberFormat="0" applyFill="0" applyBorder="0" applyAlignment="0" applyProtection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2" borderId="3" applyNumberFormat="0" applyFont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5" fillId="0" borderId="0"/>
    <xf numFmtId="168" fontId="2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8" fillId="0" borderId="0"/>
    <xf numFmtId="0" fontId="38" fillId="0" borderId="0"/>
    <xf numFmtId="4" fontId="39" fillId="0" borderId="1">
      <alignment horizontal="right" vertical="top"/>
    </xf>
    <xf numFmtId="4" fontId="39" fillId="0" borderId="1">
      <alignment horizontal="right" vertical="top"/>
    </xf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21" fillId="0" borderId="0"/>
    <xf numFmtId="0" fontId="24" fillId="2" borderId="3" applyNumberFormat="0" applyFont="0" applyAlignment="0" applyProtection="0"/>
    <xf numFmtId="9" fontId="24" fillId="0" borderId="0" applyFont="0" applyFill="0" applyBorder="0" applyAlignment="0" applyProtection="0"/>
    <xf numFmtId="170" fontId="40" fillId="0" borderId="13">
      <protection locked="0"/>
    </xf>
    <xf numFmtId="170" fontId="41" fillId="7" borderId="13"/>
    <xf numFmtId="0" fontId="5" fillId="0" borderId="0"/>
    <xf numFmtId="0" fontId="5" fillId="0" borderId="0"/>
    <xf numFmtId="166" fontId="42" fillId="8" borderId="4" applyNumberFormat="0" applyBorder="0" applyAlignment="0">
      <alignment vertical="center"/>
      <protection locked="0"/>
    </xf>
    <xf numFmtId="43" fontId="23" fillId="0" borderId="0" applyFont="0" applyFill="0" applyBorder="0" applyAlignment="0" applyProtection="0"/>
    <xf numFmtId="0" fontId="43" fillId="0" borderId="14" applyNumberFormat="0" applyFill="0" applyAlignment="0" applyProtection="0"/>
    <xf numFmtId="0" fontId="44" fillId="9" borderId="0" applyNumberFormat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5" fillId="10" borderId="0" applyNumberFormat="0" applyBorder="0" applyAlignment="0" applyProtection="0"/>
    <xf numFmtId="0" fontId="23" fillId="11" borderId="15" applyNumberFormat="0" applyFont="0" applyAlignment="0" applyProtection="0"/>
    <xf numFmtId="0" fontId="17" fillId="0" borderId="0"/>
    <xf numFmtId="0" fontId="23" fillId="11" borderId="15" applyNumberFormat="0" applyFont="0" applyAlignment="0" applyProtection="0"/>
    <xf numFmtId="0" fontId="17" fillId="0" borderId="0"/>
    <xf numFmtId="0" fontId="23" fillId="0" borderId="0"/>
    <xf numFmtId="0" fontId="46" fillId="0" borderId="16" applyNumberFormat="0" applyFill="0" applyAlignment="0" applyProtection="0"/>
    <xf numFmtId="0" fontId="47" fillId="12" borderId="17" applyNumberFormat="0" applyAlignment="0" applyProtection="0"/>
    <xf numFmtId="0" fontId="48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8" fillId="0" borderId="0"/>
    <xf numFmtId="165" fontId="69" fillId="0" borderId="0">
      <alignment vertical="top"/>
    </xf>
    <xf numFmtId="165" fontId="70" fillId="0" borderId="0">
      <alignment vertical="top"/>
    </xf>
    <xf numFmtId="180" fontId="70" fillId="14" borderId="0">
      <alignment vertical="top"/>
    </xf>
    <xf numFmtId="165" fontId="70" fillId="15" borderId="0">
      <alignment vertical="top"/>
    </xf>
    <xf numFmtId="181" fontId="69" fillId="0" borderId="0">
      <alignment vertical="top"/>
    </xf>
    <xf numFmtId="181" fontId="69" fillId="0" borderId="0">
      <alignment vertical="top"/>
    </xf>
    <xf numFmtId="0" fontId="21" fillId="0" borderId="0"/>
    <xf numFmtId="0" fontId="38" fillId="0" borderId="0"/>
    <xf numFmtId="181" fontId="69" fillId="0" borderId="0">
      <alignment vertical="top"/>
    </xf>
    <xf numFmtId="0" fontId="38" fillId="0" borderId="0"/>
    <xf numFmtId="0" fontId="38" fillId="0" borderId="0"/>
    <xf numFmtId="0" fontId="21" fillId="0" borderId="0"/>
    <xf numFmtId="181" fontId="69" fillId="0" borderId="0">
      <alignment vertical="top"/>
    </xf>
    <xf numFmtId="0" fontId="21" fillId="0" borderId="0"/>
    <xf numFmtId="0" fontId="21" fillId="0" borderId="0"/>
    <xf numFmtId="0" fontId="21" fillId="0" borderId="0"/>
    <xf numFmtId="181" fontId="69" fillId="0" borderId="0">
      <alignment vertical="top"/>
    </xf>
    <xf numFmtId="181" fontId="69" fillId="0" borderId="0">
      <alignment vertical="top"/>
    </xf>
    <xf numFmtId="0" fontId="40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44" fontId="18" fillId="0" borderId="0">
      <protection locked="0"/>
    </xf>
    <xf numFmtId="44" fontId="18" fillId="0" borderId="0">
      <protection locked="0"/>
    </xf>
    <xf numFmtId="44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8" fillId="0" borderId="38">
      <protection locked="0"/>
    </xf>
    <xf numFmtId="0" fontId="23" fillId="16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4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31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70" fontId="40" fillId="0" borderId="13">
      <protection locked="0"/>
    </xf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44" fillId="9" borderId="0" applyNumberFormat="0" applyBorder="0" applyAlignment="0" applyProtection="0"/>
    <xf numFmtId="0" fontId="73" fillId="32" borderId="39" applyNumberFormat="0" applyAlignment="0" applyProtection="0"/>
    <xf numFmtId="0" fontId="47" fillId="12" borderId="17" applyNumberFormat="0" applyAlignment="0" applyProtection="0"/>
    <xf numFmtId="3" fontId="74" fillId="0" borderId="0" applyFont="0" applyFill="0" applyBorder="0" applyAlignment="0" applyProtection="0"/>
    <xf numFmtId="170" fontId="41" fillId="7" borderId="13"/>
    <xf numFmtId="184" fontId="75" fillId="0" borderId="0" applyFont="0" applyFill="0" applyBorder="0" applyAlignment="0" applyProtection="0"/>
    <xf numFmtId="185" fontId="74" fillId="0" borderId="0" applyFont="0" applyFill="0" applyBorder="0" applyAlignment="0" applyProtection="0"/>
    <xf numFmtId="14" fontId="76" fillId="0" borderId="0">
      <alignment vertical="top"/>
    </xf>
    <xf numFmtId="181" fontId="77" fillId="0" borderId="0">
      <alignment vertical="top"/>
    </xf>
    <xf numFmtId="169" fontId="78" fillId="0" borderId="0" applyFont="0" applyFill="0" applyBorder="0" applyAlignment="0" applyProtection="0"/>
    <xf numFmtId="0" fontId="40" fillId="0" borderId="0"/>
    <xf numFmtId="0" fontId="79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80" fillId="0" borderId="0">
      <alignment vertical="top"/>
    </xf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40" applyNumberFormat="0" applyFill="0" applyAlignment="0" applyProtection="0"/>
    <xf numFmtId="0" fontId="83" fillId="0" borderId="0" applyNumberFormat="0" applyFill="0" applyBorder="0" applyAlignment="0" applyProtection="0"/>
    <xf numFmtId="170" fontId="8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19" borderId="39" applyNumberFormat="0" applyAlignment="0" applyProtection="0"/>
    <xf numFmtId="181" fontId="70" fillId="0" borderId="0">
      <alignment vertical="top"/>
    </xf>
    <xf numFmtId="181" fontId="70" fillId="14" borderId="0">
      <alignment vertical="top"/>
    </xf>
    <xf numFmtId="186" fontId="70" fillId="15" borderId="0">
      <alignment vertical="top"/>
    </xf>
    <xf numFmtId="0" fontId="46" fillId="0" borderId="16" applyNumberFormat="0" applyFill="0" applyAlignment="0" applyProtection="0"/>
    <xf numFmtId="0" fontId="87" fillId="33" borderId="0" applyNumberFormat="0" applyBorder="0" applyAlignment="0" applyProtection="0"/>
    <xf numFmtId="0" fontId="17" fillId="0" borderId="0"/>
    <xf numFmtId="0" fontId="88" fillId="0" borderId="0"/>
    <xf numFmtId="0" fontId="23" fillId="11" borderId="41" applyNumberFormat="0" applyFont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89" fillId="32" borderId="42" applyNumberFormat="0" applyAlignment="0" applyProtection="0"/>
    <xf numFmtId="0" fontId="90" fillId="0" borderId="0" applyNumberFormat="0">
      <alignment horizontal="left"/>
    </xf>
    <xf numFmtId="0" fontId="91" fillId="0" borderId="0"/>
    <xf numFmtId="189" fontId="91" fillId="0" borderId="0"/>
    <xf numFmtId="4" fontId="22" fillId="8" borderId="42" applyNumberFormat="0" applyProtection="0">
      <alignment vertical="center"/>
    </xf>
    <xf numFmtId="4" fontId="92" fillId="8" borderId="42" applyNumberFormat="0" applyProtection="0">
      <alignment vertical="center"/>
    </xf>
    <xf numFmtId="4" fontId="22" fillId="8" borderId="42" applyNumberFormat="0" applyProtection="0">
      <alignment horizontal="left" vertical="center" indent="1"/>
    </xf>
    <xf numFmtId="4" fontId="22" fillId="8" borderId="42" applyNumberFormat="0" applyProtection="0">
      <alignment horizontal="left" vertical="center" indent="1"/>
    </xf>
    <xf numFmtId="0" fontId="15" fillId="34" borderId="42" applyNumberFormat="0" applyProtection="0">
      <alignment horizontal="left" vertical="center" indent="1"/>
    </xf>
    <xf numFmtId="4" fontId="22" fillId="35" borderId="42" applyNumberFormat="0" applyProtection="0">
      <alignment horizontal="right" vertical="center"/>
    </xf>
    <xf numFmtId="4" fontId="22" fillId="36" borderId="42" applyNumberFormat="0" applyProtection="0">
      <alignment horizontal="right" vertical="center"/>
    </xf>
    <xf numFmtId="4" fontId="22" fillId="37" borderId="42" applyNumberFormat="0" applyProtection="0">
      <alignment horizontal="right" vertical="center"/>
    </xf>
    <xf numFmtId="4" fontId="22" fillId="38" borderId="42" applyNumberFormat="0" applyProtection="0">
      <alignment horizontal="right" vertical="center"/>
    </xf>
    <xf numFmtId="4" fontId="22" fillId="39" borderId="42" applyNumberFormat="0" applyProtection="0">
      <alignment horizontal="right" vertical="center"/>
    </xf>
    <xf numFmtId="4" fontId="22" fillId="40" borderId="42" applyNumberFormat="0" applyProtection="0">
      <alignment horizontal="right" vertical="center"/>
    </xf>
    <xf numFmtId="4" fontId="22" fillId="41" borderId="42" applyNumberFormat="0" applyProtection="0">
      <alignment horizontal="right" vertical="center"/>
    </xf>
    <xf numFmtId="4" fontId="22" fillId="42" borderId="42" applyNumberFormat="0" applyProtection="0">
      <alignment horizontal="right" vertical="center"/>
    </xf>
    <xf numFmtId="4" fontId="22" fillId="43" borderId="42" applyNumberFormat="0" applyProtection="0">
      <alignment horizontal="right" vertical="center"/>
    </xf>
    <xf numFmtId="4" fontId="93" fillId="44" borderId="42" applyNumberFormat="0" applyProtection="0">
      <alignment horizontal="left" vertical="center" indent="1"/>
    </xf>
    <xf numFmtId="4" fontId="22" fillId="45" borderId="43" applyNumberFormat="0" applyProtection="0">
      <alignment horizontal="left" vertical="center" indent="1"/>
    </xf>
    <xf numFmtId="4" fontId="94" fillId="46" borderId="0" applyNumberFormat="0" applyProtection="0">
      <alignment horizontal="left" vertical="center" indent="1"/>
    </xf>
    <xf numFmtId="0" fontId="15" fillId="34" borderId="42" applyNumberFormat="0" applyProtection="0">
      <alignment horizontal="left" vertical="center" indent="1"/>
    </xf>
    <xf numFmtId="4" fontId="95" fillId="45" borderId="42" applyNumberFormat="0" applyProtection="0">
      <alignment horizontal="left" vertical="center" indent="1"/>
    </xf>
    <xf numFmtId="4" fontId="95" fillId="47" borderId="42" applyNumberFormat="0" applyProtection="0">
      <alignment horizontal="left" vertical="center" indent="1"/>
    </xf>
    <xf numFmtId="0" fontId="15" fillId="47" borderId="42" applyNumberFormat="0" applyProtection="0">
      <alignment horizontal="left" vertical="center" indent="1"/>
    </xf>
    <xf numFmtId="0" fontId="15" fillId="47" borderId="42" applyNumberFormat="0" applyProtection="0">
      <alignment horizontal="left" vertical="center" indent="1"/>
    </xf>
    <xf numFmtId="0" fontId="15" fillId="48" borderId="42" applyNumberFormat="0" applyProtection="0">
      <alignment horizontal="left" vertical="center" indent="1"/>
    </xf>
    <xf numFmtId="0" fontId="15" fillId="48" borderId="42" applyNumberFormat="0" applyProtection="0">
      <alignment horizontal="left" vertical="center" indent="1"/>
    </xf>
    <xf numFmtId="0" fontId="15" fillId="14" borderId="42" applyNumberFormat="0" applyProtection="0">
      <alignment horizontal="left" vertical="center" indent="1"/>
    </xf>
    <xf numFmtId="0" fontId="15" fillId="14" borderId="42" applyNumberFormat="0" applyProtection="0">
      <alignment horizontal="left" vertical="center" indent="1"/>
    </xf>
    <xf numFmtId="0" fontId="15" fillId="34" borderId="42" applyNumberFormat="0" applyProtection="0">
      <alignment horizontal="left" vertical="center" indent="1"/>
    </xf>
    <xf numFmtId="0" fontId="15" fillId="34" borderId="42" applyNumberFormat="0" applyProtection="0">
      <alignment horizontal="left" vertical="center" indent="1"/>
    </xf>
    <xf numFmtId="0" fontId="17" fillId="0" borderId="0"/>
    <xf numFmtId="4" fontId="22" fillId="49" borderId="42" applyNumberFormat="0" applyProtection="0">
      <alignment vertical="center"/>
    </xf>
    <xf numFmtId="4" fontId="92" fillId="49" borderId="42" applyNumberFormat="0" applyProtection="0">
      <alignment vertical="center"/>
    </xf>
    <xf numFmtId="4" fontId="22" fillId="49" borderId="42" applyNumberFormat="0" applyProtection="0">
      <alignment horizontal="left" vertical="center" indent="1"/>
    </xf>
    <xf numFmtId="4" fontId="22" fillId="49" borderId="42" applyNumberFormat="0" applyProtection="0">
      <alignment horizontal="left" vertical="center" indent="1"/>
    </xf>
    <xf numFmtId="4" fontId="22" fillId="45" borderId="42" applyNumberFormat="0" applyProtection="0">
      <alignment horizontal="right" vertical="center"/>
    </xf>
    <xf numFmtId="4" fontId="92" fillId="45" borderId="42" applyNumberFormat="0" applyProtection="0">
      <alignment horizontal="right" vertical="center"/>
    </xf>
    <xf numFmtId="0" fontId="15" fillId="34" borderId="42" applyNumberFormat="0" applyProtection="0">
      <alignment horizontal="left" vertical="center" indent="1"/>
    </xf>
    <xf numFmtId="0" fontId="15" fillId="34" borderId="42" applyNumberFormat="0" applyProtection="0">
      <alignment horizontal="left" vertical="center" indent="1"/>
    </xf>
    <xf numFmtId="0" fontId="96" fillId="0" borderId="0"/>
    <xf numFmtId="4" fontId="97" fillId="45" borderId="42" applyNumberFormat="0" applyProtection="0">
      <alignment horizontal="right" vertical="center"/>
    </xf>
    <xf numFmtId="181" fontId="98" fillId="50" borderId="0">
      <alignment horizontal="right" vertical="top"/>
    </xf>
    <xf numFmtId="0" fontId="99" fillId="0" borderId="0" applyNumberFormat="0" applyFill="0" applyBorder="0" applyAlignment="0" applyProtection="0"/>
    <xf numFmtId="0" fontId="74" fillId="0" borderId="44" applyNumberFormat="0" applyFont="0" applyFill="0" applyAlignment="0" applyProtection="0"/>
    <xf numFmtId="0" fontId="48" fillId="0" borderId="0" applyNumberFormat="0" applyFill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31" borderId="0" applyNumberFormat="0" applyBorder="0" applyAlignment="0" applyProtection="0"/>
    <xf numFmtId="0" fontId="86" fillId="19" borderId="39" applyNumberFormat="0" applyAlignment="0" applyProtection="0"/>
    <xf numFmtId="0" fontId="89" fillId="32" borderId="42" applyNumberFormat="0" applyAlignment="0" applyProtection="0"/>
    <xf numFmtId="0" fontId="73" fillId="32" borderId="39" applyNumberFormat="0" applyAlignment="0" applyProtection="0"/>
    <xf numFmtId="0" fontId="100" fillId="0" borderId="0" applyBorder="0">
      <alignment horizontal="center" vertical="center" wrapText="1"/>
    </xf>
    <xf numFmtId="0" fontId="101" fillId="0" borderId="45" applyNumberFormat="0" applyFill="0" applyAlignment="0" applyProtection="0"/>
    <xf numFmtId="0" fontId="102" fillId="0" borderId="46" applyNumberFormat="0" applyFill="0" applyAlignment="0" applyProtection="0"/>
    <xf numFmtId="0" fontId="83" fillId="0" borderId="40" applyNumberFormat="0" applyFill="0" applyAlignment="0" applyProtection="0"/>
    <xf numFmtId="0" fontId="83" fillId="0" borderId="0" applyNumberFormat="0" applyFill="0" applyBorder="0" applyAlignment="0" applyProtection="0"/>
    <xf numFmtId="0" fontId="103" fillId="0" borderId="47" applyBorder="0">
      <alignment horizontal="center" vertical="center" wrapText="1"/>
    </xf>
    <xf numFmtId="4" fontId="104" fillId="8" borderId="48" applyBorder="0">
      <alignment horizontal="right"/>
    </xf>
    <xf numFmtId="49" fontId="105" fillId="0" borderId="0" applyBorder="0">
      <alignment vertical="center"/>
    </xf>
    <xf numFmtId="0" fontId="43" fillId="0" borderId="49" applyNumberFormat="0" applyFill="0" applyAlignment="0" applyProtection="0"/>
    <xf numFmtId="3" fontId="41" fillId="0" borderId="48" applyBorder="0">
      <alignment vertical="center"/>
    </xf>
    <xf numFmtId="0" fontId="47" fillId="12" borderId="17" applyNumberFormat="0" applyAlignment="0" applyProtection="0"/>
    <xf numFmtId="0" fontId="106" fillId="0" borderId="0">
      <alignment horizontal="center" vertical="top" wrapText="1"/>
    </xf>
    <xf numFmtId="0" fontId="107" fillId="0" borderId="0">
      <alignment horizontal="centerContinuous" vertical="center" wrapText="1"/>
    </xf>
    <xf numFmtId="0" fontId="108" fillId="15" borderId="0" applyFill="0">
      <alignment wrapText="1"/>
    </xf>
    <xf numFmtId="0" fontId="99" fillId="0" borderId="0" applyNumberFormat="0" applyFill="0" applyBorder="0" applyAlignment="0" applyProtection="0"/>
    <xf numFmtId="0" fontId="87" fillId="33" borderId="0" applyNumberFormat="0" applyBorder="0" applyAlignment="0" applyProtection="0"/>
    <xf numFmtId="0" fontId="17" fillId="0" borderId="0"/>
    <xf numFmtId="0" fontId="44" fillId="9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79" fillId="0" borderId="0" applyNumberFormat="0" applyFill="0" applyBorder="0" applyAlignment="0" applyProtection="0"/>
    <xf numFmtId="0" fontId="109" fillId="11" borderId="41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6" fillId="0" borderId="16" applyNumberFormat="0" applyFill="0" applyAlignment="0" applyProtection="0"/>
    <xf numFmtId="181" fontId="69" fillId="0" borderId="0">
      <alignment vertical="top"/>
    </xf>
    <xf numFmtId="0" fontId="40" fillId="0" borderId="0"/>
    <xf numFmtId="3" fontId="110" fillId="0" borderId="0"/>
    <xf numFmtId="0" fontId="48" fillId="0" borderId="0" applyNumberFormat="0" applyFill="0" applyBorder="0" applyAlignment="0" applyProtection="0"/>
    <xf numFmtId="49" fontId="108" fillId="0" borderId="0">
      <alignment horizontal="center"/>
    </xf>
    <xf numFmtId="19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11" fillId="0" borderId="0" applyFont="0" applyFill="0" applyBorder="0" applyAlignment="0" applyProtection="0"/>
    <xf numFmtId="4" fontId="104" fillId="15" borderId="0" applyBorder="0">
      <alignment horizontal="right"/>
    </xf>
    <xf numFmtId="4" fontId="104" fillId="15" borderId="0" applyBorder="0">
      <alignment horizontal="right"/>
    </xf>
    <xf numFmtId="4" fontId="104" fillId="15" borderId="0" applyFont="0" applyBorder="0">
      <alignment horizontal="right"/>
    </xf>
    <xf numFmtId="4" fontId="104" fillId="51" borderId="50" applyBorder="0">
      <alignment horizontal="right"/>
    </xf>
    <xf numFmtId="4" fontId="104" fillId="15" borderId="48" applyFont="0" applyBorder="0">
      <alignment horizontal="right"/>
    </xf>
    <xf numFmtId="0" fontId="45" fillId="10" borderId="0" applyNumberFormat="0" applyBorder="0" applyAlignment="0" applyProtection="0"/>
    <xf numFmtId="192" fontId="17" fillId="0" borderId="48" applyFont="0" applyFill="0" applyBorder="0" applyProtection="0">
      <alignment horizontal="center" vertical="center"/>
    </xf>
    <xf numFmtId="44" fontId="18" fillId="0" borderId="0">
      <protection locked="0"/>
    </xf>
    <xf numFmtId="0" fontId="40" fillId="0" borderId="48" applyBorder="0">
      <alignment horizontal="center" vertical="center" wrapText="1"/>
    </xf>
    <xf numFmtId="0" fontId="17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17" fillId="0" borderId="0">
      <protection locked="0"/>
    </xf>
    <xf numFmtId="0" fontId="117" fillId="0" borderId="38">
      <protection locked="0"/>
    </xf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96" fontId="15" fillId="0" borderId="0" applyFont="0" applyFill="0" applyBorder="0" applyAlignment="0" applyProtection="0"/>
    <xf numFmtId="197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5" fillId="11" borderId="41" applyNumberFormat="0" applyFont="0" applyAlignment="0" applyProtection="0"/>
    <xf numFmtId="9" fontId="109" fillId="0" borderId="0" applyFont="0" applyFill="0" applyBorder="0" applyAlignment="0" applyProtection="0"/>
  </cellStyleXfs>
  <cellXfs count="261">
    <xf numFmtId="0" fontId="0" fillId="0" borderId="0" xfId="0"/>
    <xf numFmtId="0" fontId="26" fillId="0" borderId="0" xfId="0" applyFont="1"/>
    <xf numFmtId="0" fontId="26" fillId="0" borderId="0" xfId="0" applyFont="1" applyFill="1"/>
    <xf numFmtId="0" fontId="26" fillId="5" borderId="2" xfId="0" applyFont="1" applyFill="1" applyBorder="1" applyAlignment="1">
      <alignment horizontal="center" vertical="center" wrapText="1"/>
    </xf>
    <xf numFmtId="167" fontId="26" fillId="0" borderId="8" xfId="264" applyNumberFormat="1" applyFont="1" applyFill="1" applyBorder="1"/>
    <xf numFmtId="165" fontId="26" fillId="0" borderId="8" xfId="32" applyNumberFormat="1" applyFont="1" applyFill="1" applyBorder="1"/>
    <xf numFmtId="10" fontId="26" fillId="0" borderId="8" xfId="32" applyNumberFormat="1" applyFont="1" applyFill="1" applyBorder="1"/>
    <xf numFmtId="0" fontId="50" fillId="4" borderId="0" xfId="0" applyFont="1" applyFill="1"/>
    <xf numFmtId="0" fontId="50" fillId="4" borderId="0" xfId="0" applyFont="1" applyFill="1" applyAlignment="1">
      <alignment wrapText="1"/>
    </xf>
    <xf numFmtId="0" fontId="50" fillId="0" borderId="0" xfId="0" applyFont="1"/>
    <xf numFmtId="0" fontId="51" fillId="4" borderId="11" xfId="0" applyFont="1" applyFill="1" applyBorder="1" applyAlignment="1">
      <alignment vertical="top" wrapText="1"/>
    </xf>
    <xf numFmtId="0" fontId="50" fillId="4" borderId="10" xfId="0" applyFont="1" applyFill="1" applyBorder="1" applyAlignment="1">
      <alignment vertical="top" wrapText="1"/>
    </xf>
    <xf numFmtId="0" fontId="50" fillId="4" borderId="9" xfId="0" applyFont="1" applyFill="1" applyBorder="1" applyAlignment="1">
      <alignment vertical="top" wrapText="1"/>
    </xf>
    <xf numFmtId="0" fontId="50" fillId="4" borderId="20" xfId="0" applyFont="1" applyFill="1" applyBorder="1" applyAlignment="1">
      <alignment vertical="top" wrapText="1"/>
    </xf>
    <xf numFmtId="0" fontId="50" fillId="4" borderId="18" xfId="0" applyFont="1" applyFill="1" applyBorder="1" applyAlignment="1">
      <alignment horizontal="center"/>
    </xf>
    <xf numFmtId="0" fontId="50" fillId="4" borderId="19" xfId="0" applyFont="1" applyFill="1" applyBorder="1" applyAlignment="1">
      <alignment horizontal="center"/>
    </xf>
    <xf numFmtId="0" fontId="50" fillId="4" borderId="7" xfId="0" applyFont="1" applyFill="1" applyBorder="1" applyAlignment="1">
      <alignment vertical="top" wrapText="1"/>
    </xf>
    <xf numFmtId="0" fontId="50" fillId="4" borderId="5" xfId="0" applyFont="1" applyFill="1" applyBorder="1" applyAlignment="1">
      <alignment horizontal="center"/>
    </xf>
    <xf numFmtId="0" fontId="50" fillId="4" borderId="6" xfId="0" applyFont="1" applyFill="1" applyBorder="1" applyAlignment="1">
      <alignment horizontal="center"/>
    </xf>
    <xf numFmtId="0" fontId="50" fillId="0" borderId="0" xfId="0" applyFont="1" applyAlignment="1">
      <alignment wrapText="1"/>
    </xf>
    <xf numFmtId="0" fontId="52" fillId="0" borderId="0" xfId="0" applyFont="1"/>
    <xf numFmtId="0" fontId="52" fillId="0" borderId="0" xfId="0" applyFont="1" applyFill="1"/>
    <xf numFmtId="0" fontId="53" fillId="0" borderId="0" xfId="0" applyFont="1" applyFill="1"/>
    <xf numFmtId="0" fontId="50" fillId="0" borderId="0" xfId="0" applyFont="1" applyFill="1"/>
    <xf numFmtId="0" fontId="50" fillId="5" borderId="2" xfId="0" applyFont="1" applyFill="1" applyBorder="1" applyAlignment="1">
      <alignment horizontal="center" vertical="center" wrapText="1"/>
    </xf>
    <xf numFmtId="167" fontId="50" fillId="0" borderId="8" xfId="264" applyNumberFormat="1" applyFont="1" applyFill="1" applyBorder="1"/>
    <xf numFmtId="10" fontId="50" fillId="0" borderId="8" xfId="32" applyNumberFormat="1" applyFont="1" applyFill="1" applyBorder="1"/>
    <xf numFmtId="165" fontId="50" fillId="0" borderId="8" xfId="32" applyNumberFormat="1" applyFont="1" applyFill="1" applyBorder="1"/>
    <xf numFmtId="0" fontId="51" fillId="0" borderId="0" xfId="0" applyFont="1" applyFill="1"/>
    <xf numFmtId="0" fontId="0" fillId="0" borderId="0" xfId="0" applyFont="1"/>
    <xf numFmtId="0" fontId="0" fillId="0" borderId="0" xfId="0" applyFont="1" applyFill="1"/>
    <xf numFmtId="0" fontId="27" fillId="0" borderId="0" xfId="0" applyFont="1" applyFill="1"/>
    <xf numFmtId="43" fontId="50" fillId="0" borderId="8" xfId="264" applyFont="1" applyFill="1" applyBorder="1"/>
    <xf numFmtId="0" fontId="49" fillId="0" borderId="0" xfId="0" applyFont="1"/>
    <xf numFmtId="0" fontId="54" fillId="0" borderId="0" xfId="0" applyFont="1"/>
    <xf numFmtId="0" fontId="49" fillId="0" borderId="0" xfId="0" applyFont="1" applyAlignment="1">
      <alignment horizontal="center"/>
    </xf>
    <xf numFmtId="167" fontId="0" fillId="0" borderId="0" xfId="0" applyNumberFormat="1"/>
    <xf numFmtId="167" fontId="0" fillId="0" borderId="0" xfId="264" applyNumberFormat="1" applyFont="1"/>
    <xf numFmtId="171" fontId="0" fillId="0" borderId="0" xfId="0" applyNumberFormat="1"/>
    <xf numFmtId="172" fontId="0" fillId="0" borderId="0" xfId="0" applyNumberFormat="1"/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167" fontId="49" fillId="0" borderId="1" xfId="264" applyNumberFormat="1" applyFont="1" applyBorder="1"/>
    <xf numFmtId="0" fontId="54" fillId="0" borderId="1" xfId="0" applyFont="1" applyBorder="1"/>
    <xf numFmtId="167" fontId="54" fillId="0" borderId="1" xfId="264" applyNumberFormat="1" applyFont="1" applyBorder="1"/>
    <xf numFmtId="167" fontId="54" fillId="0" borderId="1" xfId="0" applyNumberFormat="1" applyFont="1" applyBorder="1"/>
    <xf numFmtId="0" fontId="54" fillId="0" borderId="1" xfId="0" applyFont="1" applyBorder="1" applyAlignment="1">
      <alignment horizontal="center"/>
    </xf>
    <xf numFmtId="0" fontId="30" fillId="0" borderId="1" xfId="0" applyFont="1" applyBorder="1"/>
    <xf numFmtId="167" fontId="30" fillId="0" borderId="1" xfId="264" applyNumberFormat="1" applyFont="1" applyBorder="1"/>
    <xf numFmtId="0" fontId="55" fillId="0" borderId="1" xfId="0" applyFont="1" applyBorder="1"/>
    <xf numFmtId="0" fontId="56" fillId="0" borderId="1" xfId="0" applyFont="1" applyBorder="1"/>
    <xf numFmtId="167" fontId="56" fillId="0" borderId="1" xfId="0" applyNumberFormat="1" applyFont="1" applyBorder="1"/>
    <xf numFmtId="0" fontId="56" fillId="0" borderId="0" xfId="0" applyFont="1"/>
    <xf numFmtId="173" fontId="54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/>
    <xf numFmtId="173" fontId="0" fillId="0" borderId="1" xfId="0" applyNumberFormat="1" applyBorder="1"/>
    <xf numFmtId="167" fontId="0" fillId="0" borderId="1" xfId="0" applyNumberFormat="1" applyBorder="1"/>
    <xf numFmtId="167" fontId="59" fillId="0" borderId="0" xfId="0" applyNumberFormat="1" applyFont="1"/>
    <xf numFmtId="0" fontId="54" fillId="0" borderId="1" xfId="0" applyFont="1" applyFill="1" applyBorder="1"/>
    <xf numFmtId="167" fontId="59" fillId="0" borderId="1" xfId="0" applyNumberFormat="1" applyFont="1" applyBorder="1"/>
    <xf numFmtId="0" fontId="0" fillId="0" borderId="1" xfId="0" applyBorder="1" applyAlignment="1">
      <alignment horizontal="center"/>
    </xf>
    <xf numFmtId="167" fontId="0" fillId="0" borderId="1" xfId="264" applyNumberFormat="1" applyFont="1" applyBorder="1"/>
    <xf numFmtId="0" fontId="60" fillId="0" borderId="1" xfId="0" applyFont="1" applyBorder="1"/>
    <xf numFmtId="0" fontId="60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75" fontId="0" fillId="0" borderId="1" xfId="264" applyNumberFormat="1" applyFont="1" applyBorder="1"/>
    <xf numFmtId="174" fontId="0" fillId="0" borderId="1" xfId="264" applyNumberFormat="1" applyFont="1" applyBorder="1"/>
    <xf numFmtId="175" fontId="0" fillId="0" borderId="1" xfId="0" applyNumberFormat="1" applyBorder="1"/>
    <xf numFmtId="175" fontId="57" fillId="0" borderId="1" xfId="0" applyNumberFormat="1" applyFont="1" applyBorder="1"/>
    <xf numFmtId="43" fontId="0" fillId="0" borderId="0" xfId="0" applyNumberFormat="1" applyAlignment="1">
      <alignment horizontal="center"/>
    </xf>
    <xf numFmtId="1" fontId="0" fillId="0" borderId="0" xfId="0" applyNumberFormat="1"/>
    <xf numFmtId="171" fontId="0" fillId="0" borderId="1" xfId="0" applyNumberFormat="1" applyBorder="1"/>
    <xf numFmtId="166" fontId="0" fillId="0" borderId="1" xfId="0" applyNumberFormat="1" applyBorder="1"/>
    <xf numFmtId="176" fontId="0" fillId="0" borderId="0" xfId="0" applyNumberFormat="1"/>
    <xf numFmtId="0" fontId="57" fillId="0" borderId="1" xfId="0" applyFont="1" applyBorder="1"/>
    <xf numFmtId="171" fontId="57" fillId="0" borderId="1" xfId="0" applyNumberFormat="1" applyFont="1" applyBorder="1"/>
    <xf numFmtId="0" fontId="57" fillId="0" borderId="1" xfId="0" applyFont="1" applyFill="1" applyBorder="1" applyAlignment="1">
      <alignment horizontal="center"/>
    </xf>
    <xf numFmtId="0" fontId="34" fillId="0" borderId="1" xfId="0" applyFont="1" applyBorder="1"/>
    <xf numFmtId="167" fontId="0" fillId="0" borderId="23" xfId="0" applyNumberFormat="1" applyFill="1" applyBorder="1"/>
    <xf numFmtId="171" fontId="0" fillId="13" borderId="1" xfId="0" applyNumberFormat="1" applyFill="1" applyBorder="1"/>
    <xf numFmtId="0" fontId="0" fillId="0" borderId="0" xfId="0" applyBorder="1"/>
    <xf numFmtId="0" fontId="61" fillId="0" borderId="1" xfId="0" applyFont="1" applyBorder="1"/>
    <xf numFmtId="167" fontId="49" fillId="0" borderId="1" xfId="0" applyNumberFormat="1" applyFont="1" applyBorder="1"/>
    <xf numFmtId="0" fontId="0" fillId="0" borderId="24" xfId="0" applyBorder="1" applyAlignment="1"/>
    <xf numFmtId="43" fontId="0" fillId="0" borderId="0" xfId="0" applyNumberFormat="1"/>
    <xf numFmtId="177" fontId="0" fillId="0" borderId="0" xfId="0" applyNumberFormat="1"/>
    <xf numFmtId="171" fontId="54" fillId="0" borderId="1" xfId="0" applyNumberFormat="1" applyFont="1" applyBorder="1"/>
    <xf numFmtId="167" fontId="56" fillId="0" borderId="1" xfId="264" applyNumberFormat="1" applyFont="1" applyBorder="1"/>
    <xf numFmtId="2" fontId="0" fillId="0" borderId="0" xfId="0" applyNumberFormat="1"/>
    <xf numFmtId="1" fontId="54" fillId="0" borderId="1" xfId="0" applyNumberFormat="1" applyFont="1" applyBorder="1"/>
    <xf numFmtId="172" fontId="0" fillId="0" borderId="1" xfId="0" applyNumberFormat="1" applyBorder="1"/>
    <xf numFmtId="0" fontId="30" fillId="0" borderId="1" xfId="0" applyFont="1" applyBorder="1" applyAlignment="1">
      <alignment horizontal="center"/>
    </xf>
    <xf numFmtId="178" fontId="0" fillId="0" borderId="1" xfId="0" applyNumberFormat="1" applyBorder="1"/>
    <xf numFmtId="167" fontId="34" fillId="0" borderId="1" xfId="0" applyNumberFormat="1" applyFont="1" applyBorder="1"/>
    <xf numFmtId="178" fontId="57" fillId="0" borderId="1" xfId="0" applyNumberFormat="1" applyFont="1" applyBorder="1"/>
    <xf numFmtId="176" fontId="0" fillId="0" borderId="1" xfId="0" applyNumberFormat="1" applyBorder="1"/>
    <xf numFmtId="172" fontId="54" fillId="0" borderId="0" xfId="0" applyNumberFormat="1" applyFont="1"/>
    <xf numFmtId="0" fontId="62" fillId="0" borderId="0" xfId="0" applyFont="1"/>
    <xf numFmtId="0" fontId="62" fillId="0" borderId="0" xfId="0" applyFont="1" applyAlignment="1">
      <alignment horizontal="center"/>
    </xf>
    <xf numFmtId="0" fontId="62" fillId="0" borderId="0" xfId="0" applyFont="1" applyAlignment="1"/>
    <xf numFmtId="0" fontId="62" fillId="0" borderId="25" xfId="0" applyFont="1" applyBorder="1"/>
    <xf numFmtId="0" fontId="62" fillId="0" borderId="25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6" fillId="0" borderId="0" xfId="0" applyFont="1"/>
    <xf numFmtId="4" fontId="66" fillId="0" borderId="0" xfId="0" applyNumberFormat="1" applyFont="1" applyAlignment="1"/>
    <xf numFmtId="0" fontId="62" fillId="0" borderId="30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33" xfId="0" applyFont="1" applyBorder="1" applyAlignment="1">
      <alignment horizontal="center"/>
    </xf>
    <xf numFmtId="0" fontId="62" fillId="0" borderId="0" xfId="0" applyFont="1" applyBorder="1"/>
    <xf numFmtId="0" fontId="113" fillId="0" borderId="30" xfId="540" applyFont="1" applyBorder="1" applyAlignment="1">
      <alignment horizontal="left" vertical="center"/>
    </xf>
    <xf numFmtId="0" fontId="112" fillId="0" borderId="36" xfId="540" applyFont="1" applyBorder="1" applyAlignment="1">
      <alignment horizontal="center" vertical="center"/>
    </xf>
    <xf numFmtId="0" fontId="112" fillId="0" borderId="30" xfId="540" applyFont="1" applyBorder="1" applyAlignment="1">
      <alignment horizontal="left" vertical="center"/>
    </xf>
    <xf numFmtId="0" fontId="112" fillId="0" borderId="48" xfId="540" applyFont="1" applyBorder="1" applyAlignment="1">
      <alignment horizontal="center" vertical="center" wrapText="1"/>
    </xf>
    <xf numFmtId="0" fontId="112" fillId="0" borderId="48" xfId="540" applyFont="1" applyFill="1" applyBorder="1" applyAlignment="1">
      <alignment horizontal="center" vertical="center" wrapText="1"/>
    </xf>
    <xf numFmtId="0" fontId="112" fillId="0" borderId="48" xfId="540" applyFont="1" applyFill="1" applyBorder="1" applyAlignment="1">
      <alignment horizontal="center" vertical="center"/>
    </xf>
    <xf numFmtId="0" fontId="113" fillId="0" borderId="52" xfId="540" applyFont="1" applyBorder="1"/>
    <xf numFmtId="0" fontId="113" fillId="0" borderId="48" xfId="540" applyFont="1" applyBorder="1"/>
    <xf numFmtId="0" fontId="113" fillId="0" borderId="48" xfId="540" applyFont="1" applyBorder="1" applyAlignment="1">
      <alignment wrapText="1"/>
    </xf>
    <xf numFmtId="0" fontId="112" fillId="0" borderId="48" xfId="540" applyFont="1" applyBorder="1" applyAlignment="1">
      <alignment horizontal="center" vertical="center"/>
    </xf>
    <xf numFmtId="0" fontId="113" fillId="0" borderId="48" xfId="540" applyFont="1" applyBorder="1" applyAlignment="1">
      <alignment horizontal="center" vertical="center"/>
    </xf>
    <xf numFmtId="0" fontId="112" fillId="0" borderId="48" xfId="540" applyFont="1" applyBorder="1" applyAlignment="1">
      <alignment wrapText="1"/>
    </xf>
    <xf numFmtId="0" fontId="112" fillId="0" borderId="48" xfId="540" applyFont="1" applyBorder="1"/>
    <xf numFmtId="0" fontId="112" fillId="0" borderId="0" xfId="540" applyFont="1" applyBorder="1" applyAlignment="1">
      <alignment wrapText="1"/>
    </xf>
    <xf numFmtId="0" fontId="112" fillId="0" borderId="0" xfId="540" applyFont="1" applyBorder="1" applyAlignment="1">
      <alignment horizontal="center"/>
    </xf>
    <xf numFmtId="0" fontId="112" fillId="0" borderId="0" xfId="540" applyFont="1" applyBorder="1"/>
    <xf numFmtId="0" fontId="112" fillId="0" borderId="0" xfId="540" applyFont="1" applyBorder="1" applyAlignment="1">
      <alignment horizontal="center" vertical="center" wrapText="1"/>
    </xf>
    <xf numFmtId="0" fontId="113" fillId="0" borderId="48" xfId="540" applyFont="1" applyBorder="1" applyAlignment="1"/>
    <xf numFmtId="0" fontId="113" fillId="0" borderId="0" xfId="540" applyFont="1" applyBorder="1" applyAlignment="1"/>
    <xf numFmtId="0" fontId="113" fillId="0" borderId="0" xfId="540" applyFont="1" applyBorder="1"/>
    <xf numFmtId="0" fontId="112" fillId="0" borderId="0" xfId="540" applyFont="1" applyBorder="1" applyAlignment="1">
      <alignment horizontal="center" vertical="center"/>
    </xf>
    <xf numFmtId="0" fontId="113" fillId="0" borderId="0" xfId="540" applyFont="1" applyAlignment="1">
      <alignment horizontal="center" vertical="center"/>
    </xf>
    <xf numFmtId="0" fontId="113" fillId="0" borderId="0" xfId="540" applyFont="1"/>
    <xf numFmtId="0" fontId="112" fillId="0" borderId="0" xfId="540" applyFont="1" applyAlignment="1"/>
    <xf numFmtId="0" fontId="112" fillId="0" borderId="0" xfId="540" applyFont="1" applyAlignment="1">
      <alignment horizontal="center"/>
    </xf>
    <xf numFmtId="0" fontId="112" fillId="0" borderId="0" xfId="540" applyFont="1" applyAlignment="1">
      <alignment horizontal="right"/>
    </xf>
    <xf numFmtId="0" fontId="112" fillId="0" borderId="0" xfId="540" applyFont="1" applyAlignment="1">
      <alignment horizontal="left"/>
    </xf>
    <xf numFmtId="0" fontId="112" fillId="0" borderId="48" xfId="540" applyFont="1" applyBorder="1" applyAlignment="1">
      <alignment horizontal="center" vertical="center"/>
    </xf>
    <xf numFmtId="0" fontId="112" fillId="0" borderId="30" xfId="540" applyFont="1" applyBorder="1" applyAlignment="1">
      <alignment horizontal="left" vertical="center" wrapText="1"/>
    </xf>
    <xf numFmtId="0" fontId="113" fillId="0" borderId="36" xfId="540" applyFont="1" applyBorder="1" applyAlignment="1">
      <alignment horizontal="center" vertical="center"/>
    </xf>
    <xf numFmtId="0" fontId="112" fillId="0" borderId="52" xfId="540" applyFont="1" applyBorder="1"/>
    <xf numFmtId="0" fontId="112" fillId="0" borderId="0" xfId="540" applyFont="1"/>
    <xf numFmtId="0" fontId="112" fillId="0" borderId="48" xfId="540" applyFont="1" applyBorder="1" applyAlignment="1">
      <alignment horizontal="left" vertical="center" wrapText="1"/>
    </xf>
    <xf numFmtId="0" fontId="113" fillId="0" borderId="48" xfId="540" applyFont="1" applyBorder="1" applyAlignment="1">
      <alignment horizontal="center"/>
    </xf>
    <xf numFmtId="0" fontId="113" fillId="0" borderId="48" xfId="540" applyFont="1" applyFill="1" applyBorder="1" applyAlignment="1">
      <alignment horizontal="center"/>
    </xf>
    <xf numFmtId="49" fontId="113" fillId="0" borderId="48" xfId="540" applyNumberFormat="1" applyFont="1" applyBorder="1" applyAlignment="1">
      <alignment horizontal="center"/>
    </xf>
    <xf numFmtId="4" fontId="113" fillId="0" borderId="0" xfId="540" applyNumberFormat="1" applyFont="1"/>
    <xf numFmtId="194" fontId="113" fillId="0" borderId="0" xfId="540" applyNumberFormat="1" applyFont="1"/>
    <xf numFmtId="4" fontId="112" fillId="0" borderId="0" xfId="540" applyNumberFormat="1" applyFont="1"/>
    <xf numFmtId="195" fontId="113" fillId="0" borderId="0" xfId="540" applyNumberFormat="1" applyFont="1"/>
    <xf numFmtId="179" fontId="113" fillId="0" borderId="0" xfId="540" applyNumberFormat="1" applyFont="1"/>
    <xf numFmtId="0" fontId="114" fillId="0" borderId="48" xfId="540" applyFont="1" applyBorder="1" applyAlignment="1">
      <alignment horizontal="center" vertical="center"/>
    </xf>
    <xf numFmtId="0" fontId="115" fillId="0" borderId="0" xfId="540" applyFont="1"/>
    <xf numFmtId="3" fontId="112" fillId="0" borderId="48" xfId="540" applyNumberFormat="1" applyFont="1" applyBorder="1" applyAlignment="1">
      <alignment horizontal="center" wrapText="1"/>
    </xf>
    <xf numFmtId="3" fontId="112" fillId="0" borderId="48" xfId="540" applyNumberFormat="1" applyFont="1" applyFill="1" applyBorder="1" applyAlignment="1">
      <alignment horizontal="center"/>
    </xf>
    <xf numFmtId="3" fontId="113" fillId="0" borderId="48" xfId="540" applyNumberFormat="1" applyFont="1" applyBorder="1" applyAlignment="1">
      <alignment horizontal="center" wrapText="1"/>
    </xf>
    <xf numFmtId="3" fontId="113" fillId="0" borderId="48" xfId="540" applyNumberFormat="1" applyFont="1" applyFill="1" applyBorder="1" applyAlignment="1">
      <alignment horizontal="center" wrapText="1"/>
    </xf>
    <xf numFmtId="3" fontId="113" fillId="0" borderId="48" xfId="540" applyNumberFormat="1" applyFont="1" applyFill="1" applyBorder="1" applyAlignment="1">
      <alignment horizontal="center"/>
    </xf>
    <xf numFmtId="4" fontId="112" fillId="0" borderId="48" xfId="540" applyNumberFormat="1" applyFont="1" applyBorder="1" applyAlignment="1">
      <alignment horizontal="center" wrapText="1"/>
    </xf>
    <xf numFmtId="0" fontId="112" fillId="0" borderId="48" xfId="540" applyFont="1" applyBorder="1" applyAlignment="1">
      <alignment horizontal="center" wrapText="1"/>
    </xf>
    <xf numFmtId="0" fontId="112" fillId="0" borderId="48" xfId="540" applyFont="1" applyFill="1" applyBorder="1" applyAlignment="1">
      <alignment horizontal="center"/>
    </xf>
    <xf numFmtId="4" fontId="113" fillId="0" borderId="48" xfId="540" applyNumberFormat="1" applyFont="1" applyBorder="1" applyAlignment="1">
      <alignment horizontal="center" wrapText="1"/>
    </xf>
    <xf numFmtId="4" fontId="113" fillId="0" borderId="48" xfId="540" applyNumberFormat="1" applyFont="1" applyFill="1" applyBorder="1" applyAlignment="1">
      <alignment horizontal="center" wrapText="1"/>
    </xf>
    <xf numFmtId="0" fontId="113" fillId="0" borderId="48" xfId="540" applyFont="1" applyFill="1" applyBorder="1" applyAlignment="1">
      <alignment horizontal="center" wrapText="1"/>
    </xf>
    <xf numFmtId="0" fontId="113" fillId="0" borderId="48" xfId="540" applyFont="1" applyBorder="1" applyAlignment="1">
      <alignment horizontal="center" wrapText="1"/>
    </xf>
    <xf numFmtId="3" fontId="112" fillId="0" borderId="48" xfId="540" applyNumberFormat="1" applyFont="1" applyBorder="1" applyAlignment="1">
      <alignment horizontal="center"/>
    </xf>
    <xf numFmtId="0" fontId="112" fillId="0" borderId="48" xfId="540" applyFont="1" applyBorder="1" applyAlignment="1">
      <alignment horizontal="center"/>
    </xf>
    <xf numFmtId="4" fontId="112" fillId="0" borderId="48" xfId="540" applyNumberFormat="1" applyFont="1" applyBorder="1" applyAlignment="1">
      <alignment horizontal="center"/>
    </xf>
    <xf numFmtId="4" fontId="113" fillId="0" borderId="48" xfId="540" applyNumberFormat="1" applyFont="1" applyBorder="1" applyAlignment="1">
      <alignment horizontal="center"/>
    </xf>
    <xf numFmtId="0" fontId="116" fillId="0" borderId="0" xfId="540" applyFont="1"/>
    <xf numFmtId="2" fontId="113" fillId="0" borderId="48" xfId="540" applyNumberFormat="1" applyFont="1" applyBorder="1" applyAlignment="1">
      <alignment horizontal="center"/>
    </xf>
    <xf numFmtId="2" fontId="112" fillId="0" borderId="48" xfId="540" applyNumberFormat="1" applyFont="1" applyBorder="1" applyAlignment="1">
      <alignment horizontal="center"/>
    </xf>
    <xf numFmtId="4" fontId="112" fillId="0" borderId="48" xfId="540" applyNumberFormat="1" applyFont="1" applyBorder="1" applyAlignment="1">
      <alignment horizontal="center"/>
    </xf>
    <xf numFmtId="43" fontId="112" fillId="0" borderId="0" xfId="540" applyNumberFormat="1" applyFont="1" applyBorder="1"/>
    <xf numFmtId="4" fontId="112" fillId="0" borderId="0" xfId="540" applyNumberFormat="1" applyFont="1" applyBorder="1"/>
    <xf numFmtId="4" fontId="112" fillId="0" borderId="48" xfId="540" applyNumberFormat="1" applyFont="1" applyBorder="1" applyAlignment="1">
      <alignment horizontal="center"/>
    </xf>
    <xf numFmtId="195" fontId="113" fillId="0" borderId="48" xfId="540" applyNumberFormat="1" applyFont="1" applyBorder="1" applyAlignment="1">
      <alignment horizontal="center"/>
    </xf>
    <xf numFmtId="173" fontId="112" fillId="0" borderId="48" xfId="540" applyNumberFormat="1" applyFont="1" applyBorder="1" applyAlignment="1">
      <alignment horizontal="center" vertical="center"/>
    </xf>
    <xf numFmtId="173" fontId="112" fillId="0" borderId="48" xfId="540" applyNumberFormat="1" applyFont="1" applyBorder="1" applyAlignment="1">
      <alignment horizontal="center"/>
    </xf>
    <xf numFmtId="4" fontId="112" fillId="0" borderId="48" xfId="540" applyNumberFormat="1" applyFont="1" applyBorder="1" applyAlignment="1">
      <alignment horizontal="center"/>
    </xf>
    <xf numFmtId="0" fontId="51" fillId="4" borderId="21" xfId="0" applyFont="1" applyFill="1" applyBorder="1" applyAlignment="1">
      <alignment horizontal="left" vertical="top" wrapText="1"/>
    </xf>
    <xf numFmtId="0" fontId="51" fillId="4" borderId="12" xfId="0" applyFont="1" applyFill="1" applyBorder="1" applyAlignment="1">
      <alignment horizontal="left" vertical="top" wrapText="1"/>
    </xf>
    <xf numFmtId="0" fontId="51" fillId="4" borderId="22" xfId="0" applyFont="1" applyFill="1" applyBorder="1" applyAlignment="1">
      <alignment horizontal="left" vertical="top" wrapText="1"/>
    </xf>
    <xf numFmtId="0" fontId="51" fillId="4" borderId="0" xfId="0" applyFont="1" applyFill="1" applyBorder="1" applyAlignment="1">
      <alignment horizontal="center" vertical="top" wrapText="1"/>
    </xf>
    <xf numFmtId="0" fontId="49" fillId="4" borderId="0" xfId="0" applyFont="1" applyFill="1" applyBorder="1" applyAlignment="1">
      <alignment horizontal="center" vertical="top" wrapText="1"/>
    </xf>
    <xf numFmtId="3" fontId="66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4" fontId="62" fillId="0" borderId="0" xfId="0" applyNumberFormat="1" applyFont="1" applyAlignment="1">
      <alignment horizontal="center"/>
    </xf>
    <xf numFmtId="0" fontId="66" fillId="0" borderId="0" xfId="0" applyFont="1" applyAlignment="1">
      <alignment horizontal="center"/>
    </xf>
    <xf numFmtId="4" fontId="66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62" fillId="0" borderId="4" xfId="0" applyFont="1" applyBorder="1" applyAlignment="1">
      <alignment horizontal="center"/>
    </xf>
    <xf numFmtId="0" fontId="62" fillId="0" borderId="30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5" xfId="0" applyFont="1" applyBorder="1" applyAlignment="1">
      <alignment horizontal="left"/>
    </xf>
    <xf numFmtId="0" fontId="62" fillId="0" borderId="25" xfId="0" applyFont="1" applyBorder="1" applyAlignment="1">
      <alignment horizontal="center"/>
    </xf>
    <xf numFmtId="0" fontId="62" fillId="0" borderId="32" xfId="0" applyFont="1" applyBorder="1" applyAlignment="1">
      <alignment horizontal="center"/>
    </xf>
    <xf numFmtId="0" fontId="62" fillId="0" borderId="33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3" fontId="62" fillId="0" borderId="0" xfId="0" applyNumberFormat="1" applyFont="1" applyAlignment="1">
      <alignment horizontal="center"/>
    </xf>
    <xf numFmtId="0" fontId="62" fillId="0" borderId="35" xfId="0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36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2" fontId="62" fillId="0" borderId="0" xfId="0" applyNumberFormat="1" applyFont="1" applyAlignment="1">
      <alignment horizontal="center"/>
    </xf>
    <xf numFmtId="0" fontId="62" fillId="0" borderId="34" xfId="0" applyFont="1" applyBorder="1" applyAlignment="1">
      <alignment horizontal="center"/>
    </xf>
    <xf numFmtId="179" fontId="62" fillId="0" borderId="0" xfId="0" applyNumberFormat="1" applyFont="1" applyAlignment="1">
      <alignment horizontal="center"/>
    </xf>
    <xf numFmtId="179" fontId="66" fillId="0" borderId="0" xfId="0" applyNumberFormat="1" applyFont="1" applyAlignment="1">
      <alignment horizontal="center"/>
    </xf>
    <xf numFmtId="0" fontId="113" fillId="0" borderId="52" xfId="540" applyFont="1" applyBorder="1" applyAlignment="1">
      <alignment horizontal="center"/>
    </xf>
    <xf numFmtId="0" fontId="113" fillId="0" borderId="51" xfId="540" applyFont="1" applyBorder="1" applyAlignment="1">
      <alignment horizontal="center"/>
    </xf>
    <xf numFmtId="195" fontId="113" fillId="0" borderId="52" xfId="540" applyNumberFormat="1" applyFont="1" applyBorder="1" applyAlignment="1">
      <alignment horizontal="center"/>
    </xf>
    <xf numFmtId="195" fontId="113" fillId="0" borderId="51" xfId="540" applyNumberFormat="1" applyFont="1" applyBorder="1" applyAlignment="1">
      <alignment horizontal="center"/>
    </xf>
    <xf numFmtId="3" fontId="112" fillId="0" borderId="52" xfId="540" applyNumberFormat="1" applyFont="1" applyBorder="1" applyAlignment="1">
      <alignment horizontal="center"/>
    </xf>
    <xf numFmtId="3" fontId="112" fillId="0" borderId="53" xfId="540" applyNumberFormat="1" applyFont="1" applyBorder="1" applyAlignment="1">
      <alignment horizontal="center"/>
    </xf>
    <xf numFmtId="3" fontId="112" fillId="0" borderId="51" xfId="540" applyNumberFormat="1" applyFont="1" applyBorder="1" applyAlignment="1">
      <alignment horizontal="center"/>
    </xf>
    <xf numFmtId="4" fontId="112" fillId="0" borderId="48" xfId="540" applyNumberFormat="1" applyFont="1" applyBorder="1" applyAlignment="1">
      <alignment horizontal="center"/>
    </xf>
    <xf numFmtId="0" fontId="112" fillId="0" borderId="48" xfId="540" applyFont="1" applyBorder="1" applyAlignment="1">
      <alignment horizontal="center"/>
    </xf>
    <xf numFmtId="4" fontId="112" fillId="0" borderId="52" xfId="540" applyNumberFormat="1" applyFont="1" applyBorder="1" applyAlignment="1">
      <alignment horizontal="center"/>
    </xf>
    <xf numFmtId="0" fontId="112" fillId="0" borderId="51" xfId="540" applyFont="1" applyBorder="1" applyAlignment="1">
      <alignment horizontal="center"/>
    </xf>
    <xf numFmtId="4" fontId="112" fillId="0" borderId="0" xfId="540" applyNumberFormat="1" applyFont="1" applyBorder="1" applyAlignment="1">
      <alignment horizontal="center"/>
    </xf>
    <xf numFmtId="0" fontId="112" fillId="0" borderId="0" xfId="540" applyFont="1" applyBorder="1" applyAlignment="1">
      <alignment horizontal="center"/>
    </xf>
    <xf numFmtId="0" fontId="112" fillId="0" borderId="0" xfId="540" applyFont="1" applyBorder="1" applyAlignment="1">
      <alignment horizontal="center" wrapText="1"/>
    </xf>
    <xf numFmtId="0" fontId="112" fillId="0" borderId="48" xfId="540" applyFont="1" applyBorder="1" applyAlignment="1">
      <alignment horizontal="center" vertical="center" wrapText="1"/>
    </xf>
    <xf numFmtId="4" fontId="113" fillId="0" borderId="52" xfId="540" applyNumberFormat="1" applyFont="1" applyBorder="1" applyAlignment="1">
      <alignment horizontal="center"/>
    </xf>
    <xf numFmtId="4" fontId="113" fillId="0" borderId="53" xfId="540" applyNumberFormat="1" applyFont="1" applyBorder="1" applyAlignment="1">
      <alignment horizontal="center"/>
    </xf>
    <xf numFmtId="4" fontId="113" fillId="0" borderId="51" xfId="540" applyNumberFormat="1" applyFont="1" applyBorder="1" applyAlignment="1">
      <alignment horizontal="center"/>
    </xf>
    <xf numFmtId="0" fontId="113" fillId="0" borderId="53" xfId="540" applyFont="1" applyBorder="1" applyAlignment="1">
      <alignment horizontal="center"/>
    </xf>
    <xf numFmtId="0" fontId="112" fillId="0" borderId="52" xfId="540" applyFont="1" applyBorder="1" applyAlignment="1">
      <alignment horizontal="center"/>
    </xf>
    <xf numFmtId="0" fontId="112" fillId="0" borderId="53" xfId="540" applyFont="1" applyBorder="1" applyAlignment="1">
      <alignment horizontal="center"/>
    </xf>
    <xf numFmtId="2" fontId="113" fillId="0" borderId="52" xfId="540" applyNumberFormat="1" applyFont="1" applyBorder="1" applyAlignment="1">
      <alignment horizontal="center"/>
    </xf>
    <xf numFmtId="2" fontId="113" fillId="0" borderId="53" xfId="540" applyNumberFormat="1" applyFont="1" applyBorder="1" applyAlignment="1">
      <alignment horizontal="center"/>
    </xf>
    <xf numFmtId="2" fontId="113" fillId="0" borderId="51" xfId="540" applyNumberFormat="1" applyFont="1" applyBorder="1" applyAlignment="1">
      <alignment horizontal="center"/>
    </xf>
    <xf numFmtId="4" fontId="112" fillId="0" borderId="53" xfId="540" applyNumberFormat="1" applyFont="1" applyBorder="1" applyAlignment="1">
      <alignment horizontal="center"/>
    </xf>
    <xf numFmtId="4" fontId="112" fillId="0" borderId="51" xfId="540" applyNumberFormat="1" applyFont="1" applyBorder="1" applyAlignment="1">
      <alignment horizontal="center"/>
    </xf>
    <xf numFmtId="49" fontId="113" fillId="0" borderId="52" xfId="540" applyNumberFormat="1" applyFont="1" applyBorder="1" applyAlignment="1">
      <alignment horizontal="center"/>
    </xf>
    <xf numFmtId="49" fontId="113" fillId="0" borderId="53" xfId="540" applyNumberFormat="1" applyFont="1" applyBorder="1" applyAlignment="1">
      <alignment horizontal="center"/>
    </xf>
    <xf numFmtId="49" fontId="113" fillId="0" borderId="51" xfId="540" applyNumberFormat="1" applyFont="1" applyBorder="1" applyAlignment="1">
      <alignment horizontal="center"/>
    </xf>
    <xf numFmtId="3" fontId="112" fillId="0" borderId="52" xfId="540" applyNumberFormat="1" applyFont="1" applyFill="1" applyBorder="1" applyAlignment="1">
      <alignment horizontal="center" wrapText="1"/>
    </xf>
    <xf numFmtId="3" fontId="112" fillId="0" borderId="51" xfId="540" applyNumberFormat="1" applyFont="1" applyFill="1" applyBorder="1" applyAlignment="1">
      <alignment horizontal="center" wrapText="1"/>
    </xf>
    <xf numFmtId="3" fontId="113" fillId="0" borderId="52" xfId="540" applyNumberFormat="1" applyFont="1" applyFill="1" applyBorder="1" applyAlignment="1">
      <alignment horizontal="center" wrapText="1"/>
    </xf>
    <xf numFmtId="3" fontId="113" fillId="0" borderId="51" xfId="540" applyNumberFormat="1" applyFont="1" applyFill="1" applyBorder="1" applyAlignment="1">
      <alignment horizontal="center" wrapText="1"/>
    </xf>
    <xf numFmtId="0" fontId="112" fillId="0" borderId="52" xfId="540" applyFont="1" applyFill="1" applyBorder="1" applyAlignment="1">
      <alignment horizontal="center" wrapText="1"/>
    </xf>
    <xf numFmtId="0" fontId="112" fillId="0" borderId="51" xfId="540" applyFont="1" applyFill="1" applyBorder="1" applyAlignment="1">
      <alignment horizontal="center" wrapText="1"/>
    </xf>
    <xf numFmtId="0" fontId="113" fillId="0" borderId="52" xfId="540" applyFont="1" applyFill="1" applyBorder="1" applyAlignment="1">
      <alignment horizontal="center" wrapText="1"/>
    </xf>
    <xf numFmtId="0" fontId="113" fillId="0" borderId="51" xfId="540" applyFont="1" applyFill="1" applyBorder="1" applyAlignment="1">
      <alignment horizontal="center" wrapText="1"/>
    </xf>
    <xf numFmtId="3" fontId="112" fillId="0" borderId="52" xfId="540" applyNumberFormat="1" applyFont="1" applyFill="1" applyBorder="1" applyAlignment="1">
      <alignment horizontal="center"/>
    </xf>
    <xf numFmtId="0" fontId="112" fillId="0" borderId="51" xfId="540" applyFont="1" applyFill="1" applyBorder="1" applyAlignment="1">
      <alignment horizontal="center"/>
    </xf>
    <xf numFmtId="0" fontId="112" fillId="0" borderId="0" xfId="540" applyFont="1" applyAlignment="1">
      <alignment horizontal="center"/>
    </xf>
    <xf numFmtId="0" fontId="112" fillId="0" borderId="33" xfId="540" applyFont="1" applyBorder="1" applyAlignment="1">
      <alignment horizontal="center"/>
    </xf>
    <xf numFmtId="0" fontId="112" fillId="0" borderId="0" xfId="540" applyFont="1" applyAlignment="1">
      <alignment horizontal="center" vertical="top"/>
    </xf>
    <xf numFmtId="0" fontId="112" fillId="0" borderId="54" xfId="540" applyFont="1" applyBorder="1" applyAlignment="1">
      <alignment horizontal="center" vertical="center"/>
    </xf>
    <xf numFmtId="0" fontId="112" fillId="0" borderId="23" xfId="540" applyFont="1" applyBorder="1" applyAlignment="1">
      <alignment horizontal="center" vertical="center"/>
    </xf>
    <xf numFmtId="0" fontId="112" fillId="0" borderId="36" xfId="540" applyFont="1" applyBorder="1" applyAlignment="1">
      <alignment horizontal="center" vertical="center"/>
    </xf>
    <xf numFmtId="0" fontId="112" fillId="0" borderId="48" xfId="540" applyFont="1" applyBorder="1" applyAlignment="1">
      <alignment horizontal="center" vertical="center"/>
    </xf>
    <xf numFmtId="0" fontId="112" fillId="0" borderId="48" xfId="540" applyFont="1" applyFill="1" applyBorder="1" applyAlignment="1">
      <alignment horizontal="center" vertical="center"/>
    </xf>
  </cellXfs>
  <cellStyles count="554">
    <cellStyle name=" 1" xfId="330"/>
    <cellStyle name="%" xfId="331"/>
    <cellStyle name="%_Inputs" xfId="332"/>
    <cellStyle name="%_Inputs (const)" xfId="333"/>
    <cellStyle name="%_Inputs Co" xfId="334"/>
    <cellStyle name="]_x000d__x000a_Zoomed=1_x000d__x000a_Row=0_x000d__x000a_Column=0_x000d__x000a_Height=0_x000d__x000a_Width=0_x000d__x000a_FontName=FoxFont_x000d__x000a_FontStyle=0_x000d__x000a_FontSize=9_x000d__x000a_PrtFontName=FoxPrin" xfId="48"/>
    <cellStyle name="_190-ПК(Нерег)1" xfId="286"/>
    <cellStyle name="_Model_RAB Мой" xfId="335"/>
    <cellStyle name="_Model_RAB_MRSK_svod" xfId="336"/>
    <cellStyle name="_tipogr_end" xfId="287"/>
    <cellStyle name="_выручка по присоединениям2" xfId="337"/>
    <cellStyle name="_Исходные данные для модели" xfId="338"/>
    <cellStyle name="_МОДЕЛЬ_1 (2)" xfId="339"/>
    <cellStyle name="_НВВ 2009 постатейно свод по филиалам_09_02_09" xfId="340"/>
    <cellStyle name="_НВВ 2009 постатейно свод по филиалам_для Валентина" xfId="341"/>
    <cellStyle name="_Омск" xfId="342"/>
    <cellStyle name="_пр 5 тариф RAB" xfId="343"/>
    <cellStyle name="_Предожение _ДБП_2009 г ( согласованные БП)  (2)" xfId="344"/>
    <cellStyle name="_Приложение МТС-3-КС" xfId="345"/>
    <cellStyle name="_Приложение-МТС--2-1" xfId="346"/>
    <cellStyle name="_Расчет RAB_22072008" xfId="347"/>
    <cellStyle name="_Расчет RAB_Лен и МОЭСК_с 2010 года_14.04.2009_со сглаж_version 3.0_без ФСК" xfId="348"/>
    <cellStyle name="_расчет конечных тарифов 2009  МЭСК" xfId="349"/>
    <cellStyle name="_Свод по ИПР (2)" xfId="350"/>
    <cellStyle name="_таблицы для расчетов28-04-08_2006-2009_прибыль корр_по ИА" xfId="351"/>
    <cellStyle name="_таблицы для расчетов28-04-08_2006-2009с ИА" xfId="352"/>
    <cellStyle name="_Форма 6  РТК.xls(отчет по Адр пр. ЛО)" xfId="353"/>
    <cellStyle name="_Формат разбивки по МРСК_РСК" xfId="354"/>
    <cellStyle name="_Формат_для Согласования" xfId="355"/>
    <cellStyle name="”ќђќ‘ћ‚›‰" xfId="356"/>
    <cellStyle name="”љ‘ђћ‚ђќќ›‰" xfId="357"/>
    <cellStyle name="„…ќ…†ќ›‰" xfId="358"/>
    <cellStyle name="‡ђѓћ‹ћ‚ћљ1" xfId="359"/>
    <cellStyle name="‡ђѓћ‹ћ‚ћљ2" xfId="360"/>
    <cellStyle name="’ћѓћ‚›‰" xfId="361"/>
    <cellStyle name="" xfId="542"/>
    <cellStyle name="" xfId="543"/>
    <cellStyle name="" xfId="544"/>
    <cellStyle name="" xfId="545"/>
    <cellStyle name="" xfId="546"/>
    <cellStyle name="1" xfId="547"/>
    <cellStyle name="2" xfId="548"/>
    <cellStyle name="0,0_x000d__x000a_NA_x000d__x000a_" xfId="18"/>
    <cellStyle name="20% - Accent1" xfId="362"/>
    <cellStyle name="20% - Accent2" xfId="363"/>
    <cellStyle name="20% - Accent3" xfId="364"/>
    <cellStyle name="20% - Accent4" xfId="365"/>
    <cellStyle name="20% - Accent5" xfId="366"/>
    <cellStyle name="20% - Accent6" xfId="367"/>
    <cellStyle name="20% - Акцент1 2" xfId="368"/>
    <cellStyle name="20% - Акцент2 2" xfId="369"/>
    <cellStyle name="20% - Акцент3 2" xfId="370"/>
    <cellStyle name="20% - Акцент4 2" xfId="371"/>
    <cellStyle name="20% - Акцент5 2" xfId="372"/>
    <cellStyle name="20% - Акцент6 2" xfId="373"/>
    <cellStyle name="40% - Accent1" xfId="374"/>
    <cellStyle name="40% - Accent2" xfId="375"/>
    <cellStyle name="40% - Accent3" xfId="376"/>
    <cellStyle name="40% - Accent4" xfId="377"/>
    <cellStyle name="40% - Accent5" xfId="378"/>
    <cellStyle name="40% - Accent6" xfId="379"/>
    <cellStyle name="40% - Акцент1 2" xfId="380"/>
    <cellStyle name="40% - Акцент2 2" xfId="381"/>
    <cellStyle name="40% - Акцент3 2" xfId="382"/>
    <cellStyle name="40% - Акцент4 2" xfId="383"/>
    <cellStyle name="40% - Акцент5 2" xfId="384"/>
    <cellStyle name="40% - Акцент6 2" xfId="385"/>
    <cellStyle name="50%" xfId="288"/>
    <cellStyle name="60% - Accent1" xfId="386"/>
    <cellStyle name="60% - Accent2" xfId="387"/>
    <cellStyle name="60% - Accent3" xfId="388"/>
    <cellStyle name="60% - Accent4" xfId="389"/>
    <cellStyle name="60% - Accent5" xfId="390"/>
    <cellStyle name="60% - Accent6" xfId="391"/>
    <cellStyle name="60% - Акцент1 2" xfId="392"/>
    <cellStyle name="60% - Акцент2 2" xfId="393"/>
    <cellStyle name="60% - Акцент3 2" xfId="394"/>
    <cellStyle name="60% - Акцент4 2" xfId="395"/>
    <cellStyle name="60% - Акцент5 2" xfId="396"/>
    <cellStyle name="60% - Акцент6 2" xfId="397"/>
    <cellStyle name="75%" xfId="289"/>
    <cellStyle name="Accent1" xfId="398"/>
    <cellStyle name="Accent2" xfId="399"/>
    <cellStyle name="Accent2 2" xfId="49"/>
    <cellStyle name="Accent3" xfId="400"/>
    <cellStyle name="Accent4" xfId="401"/>
    <cellStyle name="Accent5" xfId="402"/>
    <cellStyle name="Accent6" xfId="403"/>
    <cellStyle name="Ăčďĺđńńűëęŕ" xfId="404"/>
    <cellStyle name="Áĺççŕůčňíűé" xfId="405"/>
    <cellStyle name="Äĺíĺćíűé [0]_(ňŕá 3č)" xfId="406"/>
    <cellStyle name="Äĺíĺćíűé_(ňŕá 3č)" xfId="407"/>
    <cellStyle name="Bad" xfId="408"/>
    <cellStyle name="Calculation" xfId="409"/>
    <cellStyle name="Check Cell" xfId="410"/>
    <cellStyle name="Comma [0] 2" xfId="50"/>
    <cellStyle name="Comma [0] 3" xfId="51"/>
    <cellStyle name="Comma [0]_irl tel sep5" xfId="549"/>
    <cellStyle name="Comma 10" xfId="52"/>
    <cellStyle name="Comma 11" xfId="53"/>
    <cellStyle name="Comma 12" xfId="54"/>
    <cellStyle name="Comma 13" xfId="55"/>
    <cellStyle name="Comma 14" xfId="56"/>
    <cellStyle name="Comma 15" xfId="57"/>
    <cellStyle name="Comma 16" xfId="276"/>
    <cellStyle name="Comma 17" xfId="285"/>
    <cellStyle name="Comma 18" xfId="290"/>
    <cellStyle name="Comma 2" xfId="17"/>
    <cellStyle name="Comma 2 2" xfId="39"/>
    <cellStyle name="Comma 2 3" xfId="58"/>
    <cellStyle name="Comma 2 4" xfId="291"/>
    <cellStyle name="Comma 3" xfId="28"/>
    <cellStyle name="Comma 4" xfId="30"/>
    <cellStyle name="Comma 5" xfId="36"/>
    <cellStyle name="Comma 5 2" xfId="272"/>
    <cellStyle name="Comma 5 3" xfId="328"/>
    <cellStyle name="Comma 6" xfId="59"/>
    <cellStyle name="Comma 7" xfId="60"/>
    <cellStyle name="Comma 8" xfId="61"/>
    <cellStyle name="Comma 9" xfId="44"/>
    <cellStyle name="Comma_irl tel sep5" xfId="550"/>
    <cellStyle name="Comma0" xfId="411"/>
    <cellStyle name="Çŕůčňíűé" xfId="412"/>
    <cellStyle name="Currency [0]" xfId="413"/>
    <cellStyle name="Currency [0] 2" xfId="62"/>
    <cellStyle name="Currency [0] 3" xfId="63"/>
    <cellStyle name="Currency 2" xfId="64"/>
    <cellStyle name="Currency 3" xfId="65"/>
    <cellStyle name="Currency 4" xfId="66"/>
    <cellStyle name="Currency 5" xfId="67"/>
    <cellStyle name="Currency 6" xfId="68"/>
    <cellStyle name="Currency 7" xfId="69"/>
    <cellStyle name="Currency 8" xfId="70"/>
    <cellStyle name="Currency_irl tel sep5" xfId="551"/>
    <cellStyle name="Currency0" xfId="414"/>
    <cellStyle name="Date" xfId="4"/>
    <cellStyle name="Dates" xfId="415"/>
    <cellStyle name="E-mail" xfId="416"/>
    <cellStyle name="Euro" xfId="417"/>
    <cellStyle name="Excel Built-in Normal" xfId="418"/>
    <cellStyle name="Explanatory Text" xfId="419"/>
    <cellStyle name="Fixed" xfId="5"/>
    <cellStyle name="Good" xfId="420"/>
    <cellStyle name="Heading" xfId="421"/>
    <cellStyle name="Heading 1" xfId="422"/>
    <cellStyle name="Heading 2" xfId="423"/>
    <cellStyle name="Heading 3" xfId="424"/>
    <cellStyle name="Heading 4" xfId="425"/>
    <cellStyle name="Heading1" xfId="6"/>
    <cellStyle name="Heading2" xfId="7"/>
    <cellStyle name="Hyperlink 2" xfId="71"/>
    <cellStyle name="Hyperlink 3" xfId="72"/>
    <cellStyle name="Hyperlink 4" xfId="42"/>
    <cellStyle name="Hyperlink 5" xfId="266"/>
    <cellStyle name="Îáű÷íűé__FES" xfId="426"/>
    <cellStyle name="Îňęđűâŕâřŕ˙ń˙ ăčďĺđńńűëęŕ" xfId="427"/>
    <cellStyle name="Input" xfId="428"/>
    <cellStyle name="Inputs" xfId="429"/>
    <cellStyle name="Inputs (const)" xfId="430"/>
    <cellStyle name="Inputs Co" xfId="431"/>
    <cellStyle name="Linked Cell" xfId="432"/>
    <cellStyle name="Neutral" xfId="433"/>
    <cellStyle name="Normal 10" xfId="73"/>
    <cellStyle name="Normal 11" xfId="74"/>
    <cellStyle name="Normal 11 2" xfId="75"/>
    <cellStyle name="Normal 115" xfId="76"/>
    <cellStyle name="Normal 12" xfId="77"/>
    <cellStyle name="Normal 13" xfId="78"/>
    <cellStyle name="Normal 14" xfId="274"/>
    <cellStyle name="Normal 15" xfId="283"/>
    <cellStyle name="Normal 15 2" xfId="292"/>
    <cellStyle name="Normal 15_Масштаб" xfId="293"/>
    <cellStyle name="Normal 16" xfId="294"/>
    <cellStyle name="Normal 2" xfId="1"/>
    <cellStyle name="Normal 2 12 2 30 10" xfId="79"/>
    <cellStyle name="Normal 2 12 2 30 11" xfId="80"/>
    <cellStyle name="Normal 2 12 2 30 12" xfId="81"/>
    <cellStyle name="Normal 2 12 2 30 13" xfId="82"/>
    <cellStyle name="Normal 2 12 2 30 14" xfId="83"/>
    <cellStyle name="Normal 2 12 2 30 15" xfId="84"/>
    <cellStyle name="Normal 2 12 27 10 10" xfId="85"/>
    <cellStyle name="Normal 2 12 27 10 11" xfId="86"/>
    <cellStyle name="Normal 2 12 27 10 12" xfId="87"/>
    <cellStyle name="Normal 2 12 27 10 13" xfId="88"/>
    <cellStyle name="Normal 2 12 27 10 14" xfId="89"/>
    <cellStyle name="Normal 2 12 27 10 15" xfId="90"/>
    <cellStyle name="Normal 2 12 27 10 9" xfId="91"/>
    <cellStyle name="Normal 2 12 27 3 11" xfId="92"/>
    <cellStyle name="Normal 2 12 27 3 12" xfId="93"/>
    <cellStyle name="Normal 2 12 27 3 13" xfId="94"/>
    <cellStyle name="Normal 2 12 27 3 14" xfId="95"/>
    <cellStyle name="Normal 2 12 27 3 15" xfId="96"/>
    <cellStyle name="Normal 2 14 2 2 2 10 12" xfId="97"/>
    <cellStyle name="Normal 2 14 2 2 2 10 13" xfId="98"/>
    <cellStyle name="Normal 2 14 2 2 2 10 14" xfId="99"/>
    <cellStyle name="Normal 2 14 2 2 2 10 15" xfId="100"/>
    <cellStyle name="Normal 2 14 2 2 2 14 15" xfId="101"/>
    <cellStyle name="Normal 2 14 2 2 2 16 13" xfId="102"/>
    <cellStyle name="Normal 2 14 2 2 2 16 14" xfId="103"/>
    <cellStyle name="Normal 2 14 2 2 2 16 15" xfId="104"/>
    <cellStyle name="Normal 2 14 2 21 13" xfId="105"/>
    <cellStyle name="Normal 2 14 2 21 14" xfId="106"/>
    <cellStyle name="Normal 2 14 2 21 15" xfId="107"/>
    <cellStyle name="Normal 2 14 2 24 12" xfId="108"/>
    <cellStyle name="Normal 2 14 2 24 13" xfId="109"/>
    <cellStyle name="Normal 2 14 2 24 14" xfId="110"/>
    <cellStyle name="Normal 2 14 2 24 15" xfId="111"/>
    <cellStyle name="Normal 2 14 2 34 10" xfId="112"/>
    <cellStyle name="Normal 2 14 2 34 11" xfId="113"/>
    <cellStyle name="Normal 2 14 2 34 12" xfId="114"/>
    <cellStyle name="Normal 2 14 2 34 13" xfId="115"/>
    <cellStyle name="Normal 2 14 2 34 14" xfId="116"/>
    <cellStyle name="Normal 2 14 2 34 15" xfId="117"/>
    <cellStyle name="Normal 2 14 2 34 9" xfId="118"/>
    <cellStyle name="Normal 2 14 2 35 10" xfId="119"/>
    <cellStyle name="Normal 2 14 2 35 11" xfId="120"/>
    <cellStyle name="Normal 2 14 2 35 12" xfId="121"/>
    <cellStyle name="Normal 2 14 2 35 13" xfId="122"/>
    <cellStyle name="Normal 2 14 2 35 14" xfId="123"/>
    <cellStyle name="Normal 2 14 2 35 15" xfId="124"/>
    <cellStyle name="Normal 2 14 2 35 9" xfId="125"/>
    <cellStyle name="Normal 2 14 2 36 10" xfId="126"/>
    <cellStyle name="Normal 2 14 2 36 11" xfId="127"/>
    <cellStyle name="Normal 2 14 2 36 12" xfId="128"/>
    <cellStyle name="Normal 2 14 2 36 13" xfId="129"/>
    <cellStyle name="Normal 2 14 2 36 14" xfId="130"/>
    <cellStyle name="Normal 2 14 2 36 15" xfId="131"/>
    <cellStyle name="Normal 2 14 2 36 9" xfId="132"/>
    <cellStyle name="Normal 2 14 2 37 10" xfId="133"/>
    <cellStyle name="Normal 2 14 2 37 11" xfId="134"/>
    <cellStyle name="Normal 2 14 2 37 12" xfId="135"/>
    <cellStyle name="Normal 2 14 2 37 13" xfId="136"/>
    <cellStyle name="Normal 2 14 2 37 14" xfId="137"/>
    <cellStyle name="Normal 2 14 2 37 15" xfId="138"/>
    <cellStyle name="Normal 2 14 2 37 9" xfId="139"/>
    <cellStyle name="Normal 2 14 2 4 10" xfId="140"/>
    <cellStyle name="Normal 2 14 2 4 11" xfId="141"/>
    <cellStyle name="Normal 2 14 2 4 12" xfId="142"/>
    <cellStyle name="Normal 2 14 2 4 13" xfId="143"/>
    <cellStyle name="Normal 2 14 2 4 14" xfId="144"/>
    <cellStyle name="Normal 2 14 2 4 15" xfId="145"/>
    <cellStyle name="Normal 2 14 2 4 9" xfId="146"/>
    <cellStyle name="Normal 2 14 2 5 10" xfId="147"/>
    <cellStyle name="Normal 2 14 2 5 11" xfId="148"/>
    <cellStyle name="Normal 2 14 2 5 12" xfId="149"/>
    <cellStyle name="Normal 2 14 2 5 13" xfId="150"/>
    <cellStyle name="Normal 2 14 2 5 14" xfId="151"/>
    <cellStyle name="Normal 2 14 2 5 15" xfId="152"/>
    <cellStyle name="Normal 2 14 2 5 9" xfId="153"/>
    <cellStyle name="Normal 2 14 3 12 10" xfId="154"/>
    <cellStyle name="Normal 2 14 3 12 11" xfId="155"/>
    <cellStyle name="Normal 2 14 3 12 12" xfId="156"/>
    <cellStyle name="Normal 2 14 3 12 13" xfId="157"/>
    <cellStyle name="Normal 2 14 3 12 14" xfId="158"/>
    <cellStyle name="Normal 2 14 3 12 7" xfId="159"/>
    <cellStyle name="Normal 2 14 3 12 8" xfId="160"/>
    <cellStyle name="Normal 2 14 3 12 9" xfId="161"/>
    <cellStyle name="Normal 2 14 3 13 14" xfId="162"/>
    <cellStyle name="Normal 2 14 3 13 15" xfId="163"/>
    <cellStyle name="Normal 2 14 3 14 13" xfId="164"/>
    <cellStyle name="Normal 2 14 3 14 14" xfId="165"/>
    <cellStyle name="Normal 2 14 3 14 15" xfId="166"/>
    <cellStyle name="Normal 2 14 3 15 14" xfId="167"/>
    <cellStyle name="Normal 2 14 3 15 15" xfId="168"/>
    <cellStyle name="Normal 2 14 3 16 14" xfId="169"/>
    <cellStyle name="Normal 2 14 3 16 15" xfId="170"/>
    <cellStyle name="Normal 2 14 3 17 14" xfId="171"/>
    <cellStyle name="Normal 2 14 3 17 15" xfId="172"/>
    <cellStyle name="Normal 2 14 3 2 30" xfId="173"/>
    <cellStyle name="Normal 2 14 3 2 31" xfId="174"/>
    <cellStyle name="Normal 2 14 3 3 10" xfId="175"/>
    <cellStyle name="Normal 2 14 3 3 11" xfId="176"/>
    <cellStyle name="Normal 2 14 3 3 12" xfId="177"/>
    <cellStyle name="Normal 2 14 3 3 13" xfId="178"/>
    <cellStyle name="Normal 2 14 3 3 14" xfId="179"/>
    <cellStyle name="Normal 2 14 3 3 8" xfId="180"/>
    <cellStyle name="Normal 2 14 3 3 9" xfId="181"/>
    <cellStyle name="Normal 2 2" xfId="11"/>
    <cellStyle name="Normal 2 2 10" xfId="182"/>
    <cellStyle name="Normal 2 2 11" xfId="183"/>
    <cellStyle name="Normal 2 2 12" xfId="184"/>
    <cellStyle name="Normal 2 2 13" xfId="185"/>
    <cellStyle name="Normal 2 2 14" xfId="186"/>
    <cellStyle name="Normal 2 2 2" xfId="13"/>
    <cellStyle name="Normal 2 2 2 2" xfId="14"/>
    <cellStyle name="Normal 2 2 2 3" xfId="187"/>
    <cellStyle name="Normal 2 2 3" xfId="16"/>
    <cellStyle name="Normal 2 2 3 2" xfId="188"/>
    <cellStyle name="Normal 2 2 3 3" xfId="189"/>
    <cellStyle name="Normal 2 2 4" xfId="23"/>
    <cellStyle name="Normal 2 2 5" xfId="24"/>
    <cellStyle name="Normal 2 2 6" xfId="190"/>
    <cellStyle name="Normal 2 2 8" xfId="191"/>
    <cellStyle name="Normal 2 2 9" xfId="192"/>
    <cellStyle name="Normal 2 2_1 Точки продаж" xfId="15"/>
    <cellStyle name="Normal 2 3" xfId="25"/>
    <cellStyle name="Normal 2 3 2" xfId="267"/>
    <cellStyle name="Normal 2 4" xfId="27"/>
    <cellStyle name="Normal 2 5" xfId="38"/>
    <cellStyle name="Normal 2 83" xfId="193"/>
    <cellStyle name="Normal 2 84" xfId="194"/>
    <cellStyle name="Normal 2 85" xfId="195"/>
    <cellStyle name="Normal 2 86" xfId="196"/>
    <cellStyle name="Normal 2 87" xfId="197"/>
    <cellStyle name="Normal 3" xfId="10"/>
    <cellStyle name="Normal 3 2" xfId="198"/>
    <cellStyle name="Normal 3 2 2" xfId="199"/>
    <cellStyle name="Normal 3 3" xfId="200"/>
    <cellStyle name="Normal 3 4" xfId="201"/>
    <cellStyle name="Normal 3 5" xfId="268"/>
    <cellStyle name="Normal 3_Масштаб" xfId="295"/>
    <cellStyle name="Normal 4" xfId="12"/>
    <cellStyle name="Normal 4 2" xfId="202"/>
    <cellStyle name="Normal 4 3" xfId="203"/>
    <cellStyle name="Normal 5" xfId="26"/>
    <cellStyle name="Normal 5 2" xfId="277"/>
    <cellStyle name="Normal 5_Масштаб" xfId="296"/>
    <cellStyle name="Normal 6" xfId="29"/>
    <cellStyle name="Normal 7" xfId="31"/>
    <cellStyle name="Normal 7 2" xfId="41"/>
    <cellStyle name="Normal 7 2 2" xfId="46"/>
    <cellStyle name="Normal 7 2_Масштаб" xfId="297"/>
    <cellStyle name="Normal 8" xfId="33"/>
    <cellStyle name="Normal 9" xfId="34"/>
    <cellStyle name="Normal 9 2" xfId="45"/>
    <cellStyle name="Normal 9 3" xfId="265"/>
    <cellStyle name="Normal 9 3 2" xfId="269"/>
    <cellStyle name="Normal 9 3_Масштаб" xfId="298"/>
    <cellStyle name="Normal 9 4" xfId="270"/>
    <cellStyle name="Normal 9 4 2" xfId="299"/>
    <cellStyle name="Normal 9 4 3" xfId="300"/>
    <cellStyle name="Normal 9 4_Масштаб" xfId="301"/>
    <cellStyle name="Normal 9 5" xfId="302"/>
    <cellStyle name="Normal 9 6" xfId="327"/>
    <cellStyle name="Normal 9_Масштаб" xfId="303"/>
    <cellStyle name="Normal_38" xfId="434"/>
    <cellStyle name="Normal1" xfId="435"/>
    <cellStyle name="normбlnм_laroux" xfId="304"/>
    <cellStyle name="normбlnн_laroux" xfId="305"/>
    <cellStyle name="Note" xfId="436"/>
    <cellStyle name="Note 2" xfId="35"/>
    <cellStyle name="Note 2 2" xfId="271"/>
    <cellStyle name="Note 3" xfId="43"/>
    <cellStyle name="Note 3 2" xfId="47"/>
    <cellStyle name="Note 4" xfId="306"/>
    <cellStyle name="Ôčíŕíńîâűé [0]_(ňŕá 3č)" xfId="437"/>
    <cellStyle name="Ôčíŕíńîâűé_(ňŕá 3č)" xfId="438"/>
    <cellStyle name="Output" xfId="439"/>
    <cellStyle name="Percent 2" xfId="37"/>
    <cellStyle name="Percent 2 2" xfId="40"/>
    <cellStyle name="Percent 2 3" xfId="273"/>
    <cellStyle name="Percent 3" xfId="204"/>
    <cellStyle name="Percent 4" xfId="205"/>
    <cellStyle name="Percent 5" xfId="275"/>
    <cellStyle name="Percent 6" xfId="282"/>
    <cellStyle name="Percent 7" xfId="284"/>
    <cellStyle name="Percent 8" xfId="307"/>
    <cellStyle name="Price_Body" xfId="440"/>
    <cellStyle name="Result" xfId="441"/>
    <cellStyle name="Result2" xfId="442"/>
    <cellStyle name="SAPBEXaggData" xfId="443"/>
    <cellStyle name="SAPBEXaggDataEmph" xfId="444"/>
    <cellStyle name="SAPBEXaggItem" xfId="445"/>
    <cellStyle name="SAPBEXaggItemX" xfId="446"/>
    <cellStyle name="SAPBEXchaText" xfId="447"/>
    <cellStyle name="SAPBEXexcBad7" xfId="448"/>
    <cellStyle name="SAPBEXexcBad8" xfId="449"/>
    <cellStyle name="SAPBEXexcBad9" xfId="450"/>
    <cellStyle name="SAPBEXexcCritical4" xfId="451"/>
    <cellStyle name="SAPBEXexcCritical5" xfId="452"/>
    <cellStyle name="SAPBEXexcCritical6" xfId="453"/>
    <cellStyle name="SAPBEXexcGood1" xfId="454"/>
    <cellStyle name="SAPBEXexcGood2" xfId="455"/>
    <cellStyle name="SAPBEXexcGood3" xfId="456"/>
    <cellStyle name="SAPBEXfilterDrill" xfId="457"/>
    <cellStyle name="SAPBEXfilterItem" xfId="458"/>
    <cellStyle name="SAPBEXfilterText" xfId="459"/>
    <cellStyle name="SAPBEXformats" xfId="460"/>
    <cellStyle name="SAPBEXheaderItem" xfId="461"/>
    <cellStyle name="SAPBEXheaderText" xfId="462"/>
    <cellStyle name="SAPBEXHLevel0" xfId="463"/>
    <cellStyle name="SAPBEXHLevel0X" xfId="464"/>
    <cellStyle name="SAPBEXHLevel1" xfId="465"/>
    <cellStyle name="SAPBEXHLevel1X" xfId="466"/>
    <cellStyle name="SAPBEXHLevel2" xfId="467"/>
    <cellStyle name="SAPBEXHLevel2X" xfId="468"/>
    <cellStyle name="SAPBEXHLevel3" xfId="469"/>
    <cellStyle name="SAPBEXHLevel3X" xfId="470"/>
    <cellStyle name="SAPBEXinputData" xfId="471"/>
    <cellStyle name="SAPBEXresData" xfId="472"/>
    <cellStyle name="SAPBEXresDataEmph" xfId="473"/>
    <cellStyle name="SAPBEXresItem" xfId="474"/>
    <cellStyle name="SAPBEXresItemX" xfId="475"/>
    <cellStyle name="SAPBEXstdData" xfId="476"/>
    <cellStyle name="SAPBEXstdDataEmph" xfId="477"/>
    <cellStyle name="SAPBEXstdItem" xfId="478"/>
    <cellStyle name="SAPBEXstdItemX" xfId="479"/>
    <cellStyle name="SAPBEXtitle" xfId="480"/>
    <cellStyle name="SAPBEXundefined" xfId="481"/>
    <cellStyle name="Style 1" xfId="19"/>
    <cellStyle name="Table Heading" xfId="482"/>
    <cellStyle name="Title" xfId="483"/>
    <cellStyle name="Total" xfId="484"/>
    <cellStyle name="Warning Text" xfId="485"/>
    <cellStyle name="Акцент1 2" xfId="486"/>
    <cellStyle name="Акцент2 2" xfId="487"/>
    <cellStyle name="Акцент3 2" xfId="488"/>
    <cellStyle name="Акцент4 2" xfId="489"/>
    <cellStyle name="Акцент5 2" xfId="490"/>
    <cellStyle name="Акцент6 2" xfId="491"/>
    <cellStyle name="Беззащитный" xfId="308"/>
    <cellStyle name="Ввод  2" xfId="492"/>
    <cellStyle name="Вывод 2" xfId="493"/>
    <cellStyle name="Вычисление 2" xfId="494"/>
    <cellStyle name="Заголовок" xfId="495"/>
    <cellStyle name="Заголовок 1 2" xfId="496"/>
    <cellStyle name="Заголовок 2 2" xfId="497"/>
    <cellStyle name="Заголовок 3 2" xfId="498"/>
    <cellStyle name="Заголовок 4 2" xfId="499"/>
    <cellStyle name="ЗаголовокСтолбца" xfId="500"/>
    <cellStyle name="Защитный" xfId="309"/>
    <cellStyle name="Значение" xfId="501"/>
    <cellStyle name="Зоголовок" xfId="502"/>
    <cellStyle name="Итог 2" xfId="503"/>
    <cellStyle name="Итого" xfId="504"/>
    <cellStyle name="Контрольная ячейка 2" xfId="505"/>
    <cellStyle name="Мой заголовок" xfId="506"/>
    <cellStyle name="Мой заголовок листа" xfId="507"/>
    <cellStyle name="Мои наименования показателей" xfId="508"/>
    <cellStyle name="Название 2" xfId="509"/>
    <cellStyle name="Нейтральный 2" xfId="510"/>
    <cellStyle name="Обычный" xfId="0" builtinId="0"/>
    <cellStyle name="Обычный 10" xfId="206"/>
    <cellStyle name="Обычный 10 2" xfId="207"/>
    <cellStyle name="Обычный 11" xfId="208"/>
    <cellStyle name="Обычный 12" xfId="209"/>
    <cellStyle name="Обычный 13" xfId="210"/>
    <cellStyle name="Обычный 14" xfId="211"/>
    <cellStyle name="Обычный 15" xfId="212"/>
    <cellStyle name="Обычный 16" xfId="213"/>
    <cellStyle name="Обычный 17" xfId="214"/>
    <cellStyle name="Обычный 18" xfId="215"/>
    <cellStyle name="Обычный 19" xfId="216"/>
    <cellStyle name="Обычный 2" xfId="20"/>
    <cellStyle name="Обычный 2 2" xfId="2"/>
    <cellStyle name="Обычный 2 2 2" xfId="217"/>
    <cellStyle name="Обычный 2 2 2 2" xfId="218"/>
    <cellStyle name="Обычный 2 2 3" xfId="219"/>
    <cellStyle name="Обычный 2 3" xfId="3"/>
    <cellStyle name="Обычный 2 3 2" xfId="220"/>
    <cellStyle name="Обычный 2 3 3" xfId="221"/>
    <cellStyle name="Обычный 2 3 4" xfId="222"/>
    <cellStyle name="Обычный 2 4" xfId="223"/>
    <cellStyle name="Обычный 2 5" xfId="224"/>
    <cellStyle name="Обычный 2 6" xfId="225"/>
    <cellStyle name="Обычный 2 7" xfId="226"/>
    <cellStyle name="Обычный 2 8" xfId="538"/>
    <cellStyle name="Обычный 2 9" xfId="227"/>
    <cellStyle name="Обычный 2_2.4 Работа с задолженностью" xfId="228"/>
    <cellStyle name="Обычный 20" xfId="229"/>
    <cellStyle name="Обычный 21" xfId="230"/>
    <cellStyle name="Обычный 22" xfId="231"/>
    <cellStyle name="Обычный 23" xfId="329"/>
    <cellStyle name="Обычный 24" xfId="540"/>
    <cellStyle name="Обычный 3" xfId="232"/>
    <cellStyle name="Обычный 3 2" xfId="233"/>
    <cellStyle name="Обычный 3 2 2" xfId="234"/>
    <cellStyle name="Обычный 4" xfId="8"/>
    <cellStyle name="Обычный 4 2" xfId="235"/>
    <cellStyle name="Обычный 4 2 2" xfId="236"/>
    <cellStyle name="Обычный 4 2 3" xfId="237"/>
    <cellStyle name="Обычный 4 2_Масштаб" xfId="310"/>
    <cellStyle name="Обычный 4 3" xfId="238"/>
    <cellStyle name="Обычный 4 3 2" xfId="239"/>
    <cellStyle name="Обычный 4 3 3" xfId="240"/>
    <cellStyle name="Обычный 4 3_Масштаб" xfId="311"/>
    <cellStyle name="Обычный 4 4" xfId="241"/>
    <cellStyle name="Обычный 4 5" xfId="242"/>
    <cellStyle name="Обычный 4 6" xfId="243"/>
    <cellStyle name="Обычный 4 7" xfId="244"/>
    <cellStyle name="Обычный 4_Исходные данные для модели" xfId="511"/>
    <cellStyle name="Обычный 5" xfId="9"/>
    <cellStyle name="Обычный 5 2" xfId="245"/>
    <cellStyle name="Обычный 5 2 2" xfId="278"/>
    <cellStyle name="Обычный 5 3" xfId="246"/>
    <cellStyle name="Обычный 5 4" xfId="247"/>
    <cellStyle name="Обычный 6" xfId="248"/>
    <cellStyle name="Обычный 6 2" xfId="249"/>
    <cellStyle name="Обычный 7" xfId="250"/>
    <cellStyle name="Обычный 8" xfId="251"/>
    <cellStyle name="Обычный 9" xfId="252"/>
    <cellStyle name="Плохой 2" xfId="512"/>
    <cellStyle name="По центру с переносом" xfId="513"/>
    <cellStyle name="По ширине с переносом" xfId="514"/>
    <cellStyle name="Поле ввода" xfId="312"/>
    <cellStyle name="Пояснение 2" xfId="515"/>
    <cellStyle name="Примечание 2" xfId="516"/>
    <cellStyle name="Примечание 3" xfId="552"/>
    <cellStyle name="Процентный" xfId="32" builtinId="5"/>
    <cellStyle name="Процентный 2" xfId="21"/>
    <cellStyle name="Процентный 2 2" xfId="517"/>
    <cellStyle name="Процентный 2 3" xfId="518"/>
    <cellStyle name="Процентный 3" xfId="519"/>
    <cellStyle name="Процентный 4" xfId="553"/>
    <cellStyle name="Связанная ячейка 2" xfId="520"/>
    <cellStyle name="Стиль 1" xfId="22"/>
    <cellStyle name="Стиль 1 2" xfId="521"/>
    <cellStyle name="Стиль 1_Средний тариф  2012" xfId="522"/>
    <cellStyle name="ТЕКСТ" xfId="523"/>
    <cellStyle name="Текст предупреждения 2" xfId="524"/>
    <cellStyle name="Текстовый" xfId="525"/>
    <cellStyle name="Тысячи [0]_22гк" xfId="526"/>
    <cellStyle name="Тысячи_22гк" xfId="527"/>
    <cellStyle name="Финансовый" xfId="264" builtinId="3"/>
    <cellStyle name="Финансовый 2" xfId="253"/>
    <cellStyle name="Финансовый 2 2" xfId="254"/>
    <cellStyle name="Финансовый 2 2 2" xfId="255"/>
    <cellStyle name="Финансовый 2 2 3" xfId="256"/>
    <cellStyle name="Финансовый 2 2 4" xfId="279"/>
    <cellStyle name="Финансовый 2 3" xfId="257"/>
    <cellStyle name="Финансовый 2 3 2" xfId="258"/>
    <cellStyle name="Финансовый 2 3 3" xfId="259"/>
    <cellStyle name="Финансовый 2 4" xfId="260"/>
    <cellStyle name="Финансовый 2 5" xfId="261"/>
    <cellStyle name="Финансовый 2 6" xfId="262"/>
    <cellStyle name="Финансовый 2 7" xfId="280"/>
    <cellStyle name="Финансовый 3" xfId="263"/>
    <cellStyle name="Финансовый 3 2" xfId="281"/>
    <cellStyle name="Финансовый 4" xfId="313"/>
    <cellStyle name="Финансовый 5" xfId="528"/>
    <cellStyle name="Финансовый 6" xfId="539"/>
    <cellStyle name="Финансовый 7" xfId="541"/>
    <cellStyle name="Формула" xfId="529"/>
    <cellStyle name="Формула 2" xfId="530"/>
    <cellStyle name="Формула_01.08. инд. тарифы" xfId="531"/>
    <cellStyle name="ФормулаВБ" xfId="532"/>
    <cellStyle name="ФормулаНаКонтроль" xfId="533"/>
    <cellStyle name="Хороший 2" xfId="534"/>
    <cellStyle name="Цифры по центру с десятыми" xfId="535"/>
    <cellStyle name="Џђћ–…ќ’ќ›‰" xfId="536"/>
    <cellStyle name="Шапка таблицы" xfId="537"/>
    <cellStyle name="㼿" xfId="314"/>
    <cellStyle name="㼿?" xfId="315"/>
    <cellStyle name="㼿_Sheet1 (2)" xfId="316"/>
    <cellStyle name="㼿_Масштаб" xfId="317"/>
    <cellStyle name="㼿㼿" xfId="318"/>
    <cellStyle name="㼿㼿?" xfId="319"/>
    <cellStyle name="㼿㼿? 2" xfId="320"/>
    <cellStyle name="㼿㼿?_Sheet1 (2)" xfId="321"/>
    <cellStyle name="㼿㼿㼿" xfId="322"/>
    <cellStyle name="㼿㼿㼿?" xfId="323"/>
    <cellStyle name="㼿㼿㼿㼿" xfId="324"/>
    <cellStyle name="㼿㼿㼿㼿?" xfId="325"/>
    <cellStyle name="㼿㼿㼿㼿㼿" xfId="326"/>
  </cellStyles>
  <dxfs count="0"/>
  <tableStyles count="0" defaultTableStyle="TableStyleMedium9" defaultPivotStyle="PivotStyleLight16"/>
  <colors>
    <mruColors>
      <color rgb="FF00CC66"/>
      <color rgb="FFFFF3D5"/>
      <color rgb="FFE1F2CE"/>
      <color rgb="FFCCECFF"/>
      <color rgb="FF66CCFF"/>
      <color rgb="FF00CCFF"/>
      <color rgb="FFC4E59F"/>
      <color rgb="FF9CE8AA"/>
      <color rgb="FF7DFF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2</xdr:row>
      <xdr:rowOff>9526</xdr:rowOff>
    </xdr:from>
    <xdr:to>
      <xdr:col>3</xdr:col>
      <xdr:colOff>1638300</xdr:colOff>
      <xdr:row>2</xdr:row>
      <xdr:rowOff>285750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467351" y="895351"/>
              <a:ext cx="1590674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15000</m:t>
                    </m:r>
                    <m:r>
                      <a:rPr lang="ru-RU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&lt;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sub>
                      <m:sup/>
                    </m:sSubSup>
                    <m:r>
                      <a:rPr lang="ru-RU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&lt;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60000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467351" y="895351"/>
              <a:ext cx="1590674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15000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&lt;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^ &lt;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60000</a:t>
              </a:r>
              <a:endParaRPr lang="ru-RU" sz="1100"/>
            </a:p>
          </xdr:txBody>
        </xdr:sp>
      </mc:Fallback>
    </mc:AlternateContent>
    <xdr:clientData/>
  </xdr:twoCellAnchor>
  <xdr:twoCellAnchor>
    <xdr:from>
      <xdr:col>4</xdr:col>
      <xdr:colOff>66676</xdr:colOff>
      <xdr:row>2</xdr:row>
      <xdr:rowOff>9526</xdr:rowOff>
    </xdr:from>
    <xdr:to>
      <xdr:col>4</xdr:col>
      <xdr:colOff>933450</xdr:colOff>
      <xdr:row>2</xdr:row>
      <xdr:rowOff>285750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7153276" y="895351"/>
              <a:ext cx="866774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sub>
                      <m:sup/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≤</m:t>
                    </m:r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60000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7153276" y="895351"/>
              <a:ext cx="866774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^  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"≤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60000</a:t>
              </a:r>
              <a:endParaRPr lang="ru-RU" sz="1100"/>
            </a:p>
          </xdr:txBody>
        </xdr:sp>
      </mc:Fallback>
    </mc:AlternateContent>
    <xdr:clientData/>
  </xdr:twoCellAnchor>
  <xdr:twoCellAnchor>
    <xdr:from>
      <xdr:col>2</xdr:col>
      <xdr:colOff>76201</xdr:colOff>
      <xdr:row>2</xdr:row>
      <xdr:rowOff>9526</xdr:rowOff>
    </xdr:from>
    <xdr:to>
      <xdr:col>2</xdr:col>
      <xdr:colOff>971551</xdr:colOff>
      <xdr:row>2</xdr:row>
      <xdr:rowOff>285750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4476751" y="895351"/>
              <a:ext cx="895350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15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000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dk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≤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sub>
                      <m:sup/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4476751" y="895351"/>
              <a:ext cx="895350" cy="276224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15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000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"≤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^ </a:t>
              </a:r>
              <a:endParaRPr lang="ru-RU" sz="1100"/>
            </a:p>
          </xdr:txBody>
        </xdr:sp>
      </mc:Fallback>
    </mc:AlternateContent>
    <xdr:clientData/>
  </xdr:twoCellAnchor>
  <xdr:twoCellAnchor>
    <xdr:from>
      <xdr:col>1</xdr:col>
      <xdr:colOff>158749</xdr:colOff>
      <xdr:row>33</xdr:row>
      <xdr:rowOff>158749</xdr:rowOff>
    </xdr:from>
    <xdr:to>
      <xdr:col>4</xdr:col>
      <xdr:colOff>936624</xdr:colOff>
      <xdr:row>43</xdr:row>
      <xdr:rowOff>79374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476249" y="8556624"/>
              <a:ext cx="7540625" cy="15081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𝑘</m:t>
                        </m:r>
                      </m:sub>
                      <m:sup/>
                    </m:sSubSup>
                    <m:r>
                      <a:rPr lang="ru-RU" sz="1100" b="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0,04</m:t>
                    </m:r>
                    <m:r>
                      <a:rPr lang="ru-RU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×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sup>
                      <m:e>
                        <m:d>
                          <m:dPr>
                            <m:ctrlPr>
                              <a:rPr lang="ru-RU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ru-RU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с</m:t>
                                </m:r>
                              </m:e>
                              <m:sub>
                                <m:r>
                                  <a:rPr lang="en-US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  <m:sup>
                                <m:sSub>
                                  <m:sSubPr>
                                    <m:ctrlP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𝑟</m:t>
                                    </m:r>
                                  </m:e>
                                  <m:sub>
                                    <m: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=1</m:t>
                                </m:r>
                              </m:sup>
                            </m:sSubSup>
                          </m:e>
                        </m:d>
                      </m:e>
                    </m:nary>
                    <m:r>
                      <a:rPr lang="en-US" sz="11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sup>
                      <m:e>
                        <m:d>
                          <m:dPr>
                            <m:ctrlPr>
                              <a:rPr lang="ru-RU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ru-RU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с</m:t>
                                </m:r>
                              </m:e>
                              <m:sub>
                                <m:r>
                                  <a:rPr lang="en-US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  <m:sup>
                                <m:sSub>
                                  <m:sSubPr>
                                    <m:ctrlP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𝑟</m:t>
                                    </m:r>
                                  </m:e>
                                  <m:sub>
                                    <m:r>
                                      <a:rPr lang="ru-RU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  <m:r>
                                  <a:rPr lang="ru-RU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=2</m:t>
                                </m:r>
                              </m:sup>
                            </m:sSubSup>
                          </m:e>
                        </m:d>
                      </m:e>
                    </m:nary>
                  </m:oMath>
                </m:oMathPara>
              </a14:m>
              <a:endParaRPr lang="ru-RU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ru-RU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где</a:t>
              </a: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ru-RU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u-RU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с</m:t>
                      </m:r>
                    </m:e>
                    <m:sub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𝑘</m:t>
                      </m:r>
                    </m:sub>
                    <m:sup>
                      <m:sSub>
                        <m:sSubPr>
                          <m:ctrlPr>
                            <a:rPr lang="ru-RU" sz="1100" i="1">
                              <a:solidFill>
                                <a:schemeClr val="dk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ru-RU" sz="1100" i="1">
                              <a:solidFill>
                                <a:schemeClr val="dk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</m:t>
                          </m:r>
                        </m:e>
                        <m:sub>
                          <m:r>
                            <a:rPr lang="en-US" sz="1100" i="1">
                              <a:solidFill>
                                <a:schemeClr val="dk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sup>
                  </m:sSubSup>
                </m:oMath>
              </a14:m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– количество точек поставки на розничном рынке </a:t>
              </a:r>
              <a:r>
                <a:rPr lang="en-US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-ой подгруппы потребителей группы потребителей </a:t>
              </a:r>
              <a:r>
                <a:rPr lang="ru-RU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</a:t>
              </a:r>
              <a:r>
                <a:rPr lang="ru-RU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(население) и </a:t>
              </a:r>
              <a:r>
                <a:rPr lang="ru-RU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=2</a:t>
              </a:r>
              <a:r>
                <a:rPr lang="ru-RU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(прочие потребители)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-ого ГП, шт.;</a:t>
              </a: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476249" y="8556624"/>
              <a:ext cx="7540625" cy="15081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𝑅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𝑘^ 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0,04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∑1_(𝑖=1)^𝑖▒(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с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𝑘^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(𝑟_𝑖,𝑟=1) ) 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+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∑1_(𝑖=1)^𝑖▒(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с_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𝑘^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(𝑟_𝑖,𝑟=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ru-RU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) </a:t>
              </a:r>
              <a:endParaRPr lang="ru-RU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ru-RU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где</a:t>
              </a:r>
            </a:p>
            <a:p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с_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𝑘^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(𝑟_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𝑖 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– количество точек поставки на розничном рынке </a:t>
              </a:r>
              <a:r>
                <a:rPr lang="en-US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-ой подгруппы потребителей группы потребителей </a:t>
              </a:r>
              <a:r>
                <a:rPr lang="ru-RU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</a:t>
              </a:r>
              <a:r>
                <a:rPr lang="ru-RU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(население) и </a:t>
              </a:r>
              <a:r>
                <a:rPr lang="ru-RU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ru-RU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=2</a:t>
              </a:r>
              <a:r>
                <a:rPr lang="ru-RU" sz="110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(прочие потребители)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 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r>
                <a:rPr lang="ru-RU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-ого ГП, шт.;</a:t>
              </a:r>
            </a:p>
            <a:p>
              <a:endParaRPr lang="ru-RU" sz="1100"/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pe\2009%20&#1075;&#1086;&#1076;%20&#1056;&#1069;&#1050;\&#1082;&#1086;&#1085;&#1077;&#1095;&#1085;&#1099;&#1081;%20&#1090;&#1072;&#1088;&#1080;&#1092;%2011.12.2008%20&#1075;\18.12.08%20&#1075;\2009%20&#1052;&#1086;&#1088;&#1076;&#1086;&#1074;&#1080;&#1103;%20&#1088;&#1072;&#1089;&#1095;&#1077;&#1090;%20&#1091;&#1089;&#1083;&#1091;&#1075;&#1080;%20&#1057;&#1042;&#1054;&#1044;%20&#1054;&#1044;&#1053;&#1054;&#1057;&#1058;&#1040;&#1042;&#1054;&#1063;&#1053;&#1067;&#1049;%20%20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-2\kpe\DOCUME~1\Ogaraeva.FST\LOCALS~1\Temp\Rar$DI00.860\Documents%20and%20Settings\Shumeev\Local%20Settings\Temporary%20Internet%20Files\OLKAB4\Form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SH\AZR\OCT99\TODAY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-2\kpe\Documents%20and%20Settings\Rromashchenko.FST\&#1056;&#1072;&#1073;&#1086;&#1095;&#1080;&#1081;%20&#1089;&#1090;&#1086;&#1083;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movaea\Desktop\5\&#1086;&#1090;&#1082;&#1072;&#1079;%20&#1086;&#1090;%20&#1087;&#1077;&#1088;&#1077;&#1076;&#1072;&#1095;&#1080;%20&#1060;&#1057;&#1050;\PREDEL.ELEC.2010v1.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com3\&#1084;&#1086;&#1080;%20&#1076;&#1086;&#1082;&#1091;&#1084;&#1077;&#1085;&#1090;&#1099;\GMTarif301\Tar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baev001/Documents/&#1042;&#1099;&#1084;&#1087;&#1077;&#1083;%20&#1048;&#1058;%20&#1094;&#1077;&#1085;&#1090;&#1088;&#1072;&#1083;&#1080;&#1079;&#1072;&#1094;&#1080;&#1103;/WP/City%20Funnel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com3\&#1084;&#1086;&#1080;%20&#1076;&#1086;&#1082;&#1091;&#1084;&#1077;&#1085;&#1090;&#1099;\Documents%20and%20Settings\1\&#1052;&#1086;&#1080;%20&#1076;&#1086;&#1082;&#1091;&#1084;&#1077;&#1085;&#1090;&#1099;\&#1054;&#1040;&#1054;%20&#1052;&#1086;&#1088;&#1076;&#1086;&#1074;&#1101;&#1085;&#1077;&#1088;&#1075;&#1086;\2008\&#1064;&#1072;&#1073;&#1083;&#1086;&#1085;%20&#1060;&#1057;&#1058;%20&#1085;&#1072;%202008%20&#1075;&#1086;&#1076;%2028.04.07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com3\&#1084;&#1086;&#1080;%20&#1076;&#1086;&#1082;&#1091;&#1084;&#1077;&#1085;&#1090;&#1099;\DOCUME~1\nesel\LOCALS~1\Temp\C.Lotus.Notes.Data\&#1055;&#1077;&#1088;&#1077;&#1090;&#1086;&#1082;&#1080;%20&#1076;&#1077;&#1082;&#1072;&#1073;&#1088;&#1100;\peret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BAEV~1/AppData/Local/Temp/notesF3B52A/&#1056;&#1072;&#1089;&#1095;&#1077;&#109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movaea\Desktop\5\&#1086;&#1090;&#1082;&#1072;&#1079;%20&#1086;&#1090;%20&#1087;&#1077;&#1088;&#1077;&#1076;&#1072;&#1095;&#1080;%20&#1060;&#1057;&#1050;\25%20&#1088;&#1072;&#1089;&#1095;&#1077;&#1090;%20&#1091;&#1089;&#1083;&#1091;&#1075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HVET~1/AppData/Local/Temp/notesF3B52A/Process%20distribution%20v20%20GS%20RA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лан 2000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Drop down lists"/>
      <sheetName val="T0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Отчёт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тарифы"/>
      <sheetName val="расчет услуги  с перекресткой"/>
      <sheetName val="TEHSHEET"/>
    </sheetNames>
    <sheetDataSet>
      <sheetData sheetId="0"/>
      <sheetData sheetId="1"/>
      <sheetData sheetId="2">
        <row r="13">
          <cell r="E13" t="str">
            <v>Республика Мордовия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/>
      <sheetData sheetId="6">
        <row r="15">
          <cell r="AA15">
            <v>590.48</v>
          </cell>
          <cell r="AB15">
            <v>827.58</v>
          </cell>
        </row>
        <row r="16">
          <cell r="AB16">
            <v>587.5</v>
          </cell>
        </row>
        <row r="17">
          <cell r="AC17">
            <v>783.92</v>
          </cell>
        </row>
        <row r="18">
          <cell r="AB18">
            <v>37.659999999999997</v>
          </cell>
        </row>
        <row r="19">
          <cell r="Z19">
            <v>2797.43</v>
          </cell>
          <cell r="AA19">
            <v>55.47</v>
          </cell>
          <cell r="AB19">
            <v>27.57</v>
          </cell>
        </row>
        <row r="25">
          <cell r="Z25">
            <v>1250.83</v>
          </cell>
          <cell r="AA25">
            <v>23.95</v>
          </cell>
          <cell r="AB25">
            <v>566.27</v>
          </cell>
          <cell r="AC25">
            <v>660.05499999999995</v>
          </cell>
        </row>
        <row r="27">
          <cell r="AB27">
            <v>15.96</v>
          </cell>
        </row>
        <row r="29">
          <cell r="Z29">
            <v>0</v>
          </cell>
        </row>
      </sheetData>
      <sheetData sheetId="7">
        <row r="15">
          <cell r="AA15">
            <v>133.94</v>
          </cell>
          <cell r="AB15">
            <v>192.69649999999999</v>
          </cell>
        </row>
        <row r="16">
          <cell r="AB16">
            <v>129.80000000000001</v>
          </cell>
        </row>
        <row r="17">
          <cell r="AC17">
            <v>179.80889999999999</v>
          </cell>
        </row>
        <row r="18">
          <cell r="AB18">
            <v>7.44</v>
          </cell>
        </row>
        <row r="19">
          <cell r="Z19">
            <v>599.35810000000004</v>
          </cell>
          <cell r="AA19">
            <v>13.3</v>
          </cell>
          <cell r="AB19">
            <v>12.03</v>
          </cell>
        </row>
        <row r="21">
          <cell r="Z21">
            <v>27.53</v>
          </cell>
          <cell r="AA21">
            <v>7.99</v>
          </cell>
          <cell r="AB21">
            <v>26.422599999999999</v>
          </cell>
          <cell r="AC21">
            <v>27.596900000000002</v>
          </cell>
        </row>
        <row r="25">
          <cell r="Z25">
            <v>245.203</v>
          </cell>
          <cell r="AA25">
            <v>9.4480000000000004</v>
          </cell>
          <cell r="AB25">
            <v>135.72300000000001</v>
          </cell>
          <cell r="AC25">
            <v>152.21199999999999</v>
          </cell>
        </row>
        <row r="27">
          <cell r="AB27">
            <v>5.6</v>
          </cell>
        </row>
        <row r="29">
          <cell r="Z29">
            <v>0</v>
          </cell>
        </row>
      </sheetData>
      <sheetData sheetId="8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407.202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818.57300000000009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351.45</v>
          </cell>
        </row>
        <row r="13">
          <cell r="E13">
            <v>721013.04999999993</v>
          </cell>
          <cell r="F13">
            <v>867927.30494000006</v>
          </cell>
          <cell r="G13">
            <v>997767.46337982279</v>
          </cell>
          <cell r="H13">
            <v>1112864.5534500415</v>
          </cell>
          <cell r="I13">
            <v>916124.55909232341</v>
          </cell>
        </row>
        <row r="14">
          <cell r="E14">
            <v>46269.59</v>
          </cell>
          <cell r="F14">
            <v>66426.092969999998</v>
          </cell>
          <cell r="G14">
            <v>51713.65</v>
          </cell>
          <cell r="H14">
            <v>62859.199999999997</v>
          </cell>
          <cell r="I14">
            <v>51853.4</v>
          </cell>
        </row>
        <row r="15">
          <cell r="E15">
            <v>21454.98</v>
          </cell>
          <cell r="F15">
            <v>24576.629730000004</v>
          </cell>
          <cell r="G15">
            <v>24843.43</v>
          </cell>
          <cell r="H15">
            <v>27712.3</v>
          </cell>
          <cell r="I15">
            <v>25007.86</v>
          </cell>
        </row>
        <row r="16">
          <cell r="E16">
            <v>24814.61</v>
          </cell>
          <cell r="F16">
            <v>41849.463239999997</v>
          </cell>
          <cell r="G16">
            <v>26870.22</v>
          </cell>
          <cell r="H16">
            <v>35146.9</v>
          </cell>
          <cell r="I16">
            <v>26845.54</v>
          </cell>
        </row>
        <row r="17">
          <cell r="E17">
            <v>16754.400000000001</v>
          </cell>
          <cell r="F17">
            <v>15877.262270000001</v>
          </cell>
          <cell r="G17">
            <v>16763.25</v>
          </cell>
          <cell r="H17">
            <v>18838.300000000003</v>
          </cell>
          <cell r="I17">
            <v>19447.060000000001</v>
          </cell>
        </row>
        <row r="18">
          <cell r="E18">
            <v>16735</v>
          </cell>
          <cell r="F18">
            <v>15866.162270000001</v>
          </cell>
          <cell r="G18">
            <v>16424.900000000001</v>
          </cell>
          <cell r="H18">
            <v>18500.400000000001</v>
          </cell>
          <cell r="I18">
            <v>19447.060000000001</v>
          </cell>
        </row>
        <row r="19">
          <cell r="E19">
            <v>19.399999999999999</v>
          </cell>
          <cell r="F19">
            <v>11.1</v>
          </cell>
          <cell r="G19">
            <v>338.35</v>
          </cell>
          <cell r="H19">
            <v>337.9</v>
          </cell>
        </row>
        <row r="20">
          <cell r="E20">
            <v>144790.57999999999</v>
          </cell>
          <cell r="F20">
            <v>131158.6</v>
          </cell>
          <cell r="G20">
            <v>153579</v>
          </cell>
          <cell r="H20">
            <v>162411</v>
          </cell>
          <cell r="I20">
            <v>156179.84655588679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26440.806265025181</v>
          </cell>
        </row>
        <row r="22">
          <cell r="E22">
            <v>144790.36164700001</v>
          </cell>
          <cell r="F22">
            <v>131158.6</v>
          </cell>
          <cell r="G22">
            <v>153579</v>
          </cell>
          <cell r="H22">
            <v>162411</v>
          </cell>
          <cell r="I22">
            <v>129739.04029086161</v>
          </cell>
        </row>
        <row r="23">
          <cell r="E23">
            <v>53956.7</v>
          </cell>
          <cell r="F23">
            <v>48367.4</v>
          </cell>
          <cell r="G23">
            <v>68836.41</v>
          </cell>
          <cell r="H23">
            <v>56679.049643130689</v>
          </cell>
          <cell r="I23">
            <v>56647.264513343049</v>
          </cell>
        </row>
        <row r="24">
          <cell r="E24">
            <v>15899.8</v>
          </cell>
          <cell r="F24">
            <v>13845.6</v>
          </cell>
          <cell r="G24">
            <v>17182.419999999998</v>
          </cell>
          <cell r="H24">
            <v>30031.262095500857</v>
          </cell>
          <cell r="I24">
            <v>25295.264713077511</v>
          </cell>
        </row>
        <row r="25">
          <cell r="E25">
            <v>46393.405954598886</v>
          </cell>
          <cell r="F25">
            <v>44561.596424704388</v>
          </cell>
          <cell r="G25">
            <v>48513.4</v>
          </cell>
          <cell r="H25">
            <v>53350.440930496799</v>
          </cell>
          <cell r="I25">
            <v>30201.256483271332</v>
          </cell>
        </row>
        <row r="26">
          <cell r="E26">
            <v>28540.455692401116</v>
          </cell>
          <cell r="F26">
            <v>24384.172072295609</v>
          </cell>
          <cell r="G26">
            <v>30872.47</v>
          </cell>
          <cell r="H26">
            <v>22216.213020871655</v>
          </cell>
          <cell r="I26">
            <v>17595.254581169705</v>
          </cell>
        </row>
        <row r="27">
          <cell r="E27">
            <v>212824</v>
          </cell>
          <cell r="F27">
            <v>231281</v>
          </cell>
          <cell r="G27">
            <v>291579</v>
          </cell>
          <cell r="H27">
            <v>351917</v>
          </cell>
          <cell r="I27">
            <v>295938.97853643657</v>
          </cell>
        </row>
        <row r="28">
          <cell r="E28">
            <v>55335.02</v>
          </cell>
          <cell r="F28">
            <v>62525.261970000007</v>
          </cell>
          <cell r="G28">
            <v>75811.920371466244</v>
          </cell>
          <cell r="H28">
            <v>87675.093450041604</v>
          </cell>
          <cell r="I28">
            <v>76944.134000000005</v>
          </cell>
        </row>
        <row r="29">
          <cell r="E29">
            <v>76444.5</v>
          </cell>
          <cell r="F29">
            <v>94287.656740000006</v>
          </cell>
          <cell r="G29">
            <v>106497.76</v>
          </cell>
          <cell r="H29">
            <v>126896.5</v>
          </cell>
          <cell r="I29">
            <v>96070.11</v>
          </cell>
        </row>
        <row r="30">
          <cell r="E30">
            <v>168594.96</v>
          </cell>
          <cell r="F30">
            <v>266371.43099000002</v>
          </cell>
          <cell r="G30">
            <v>301822.88300835656</v>
          </cell>
          <cell r="H30">
            <v>302267.45999999996</v>
          </cell>
          <cell r="I30">
            <v>219691.03000000003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E36">
            <v>55260.09</v>
          </cell>
          <cell r="F36">
            <v>92633.3</v>
          </cell>
          <cell r="G36">
            <v>63494.42</v>
          </cell>
          <cell r="H36">
            <v>87304.69</v>
          </cell>
          <cell r="I36">
            <v>50994.9</v>
          </cell>
        </row>
        <row r="37">
          <cell r="E37">
            <v>21721.95</v>
          </cell>
          <cell r="F37">
            <v>16649.709560000003</v>
          </cell>
          <cell r="G37">
            <v>20373.449999999997</v>
          </cell>
          <cell r="H37">
            <v>20631.25</v>
          </cell>
          <cell r="I37">
            <v>20356.79</v>
          </cell>
        </row>
        <row r="38">
          <cell r="E38">
            <v>20612.310000000001</v>
          </cell>
          <cell r="F38">
            <v>11109.655560000001</v>
          </cell>
          <cell r="G38">
            <v>10916.15</v>
          </cell>
          <cell r="H38">
            <v>10916.15</v>
          </cell>
          <cell r="I38">
            <v>10918.29</v>
          </cell>
        </row>
        <row r="39">
          <cell r="E39">
            <v>707.64</v>
          </cell>
          <cell r="F39">
            <v>1295.4639999999999</v>
          </cell>
          <cell r="G39">
            <v>1104.4000000000001</v>
          </cell>
          <cell r="H39">
            <v>1263.8</v>
          </cell>
          <cell r="I39">
            <v>1085.5999999999999</v>
          </cell>
        </row>
        <row r="40">
          <cell r="E40">
            <v>402</v>
          </cell>
          <cell r="F40">
            <v>4244.59</v>
          </cell>
          <cell r="G40">
            <v>8352.9</v>
          </cell>
          <cell r="H40">
            <v>8451.2999999999993</v>
          </cell>
          <cell r="I40">
            <v>8352.9</v>
          </cell>
        </row>
        <row r="41">
          <cell r="E41">
            <v>91612.92</v>
          </cell>
          <cell r="F41">
            <v>157088.42142999999</v>
          </cell>
          <cell r="G41">
            <v>217955.01300835656</v>
          </cell>
          <cell r="H41">
            <v>194331.51999999999</v>
          </cell>
          <cell r="I41">
            <v>148339.34000000003</v>
          </cell>
        </row>
        <row r="42">
          <cell r="E42">
            <v>4203.34</v>
          </cell>
          <cell r="F42">
            <v>6693.99496</v>
          </cell>
          <cell r="G42">
            <v>5310.19</v>
          </cell>
          <cell r="H42">
            <v>5697.52</v>
          </cell>
          <cell r="I42">
            <v>5324.01</v>
          </cell>
        </row>
        <row r="43">
          <cell r="E43">
            <v>5559</v>
          </cell>
          <cell r="F43">
            <v>7569.5879300000006</v>
          </cell>
          <cell r="G43">
            <v>5443.76</v>
          </cell>
          <cell r="H43">
            <v>7520.4</v>
          </cell>
          <cell r="I43">
            <v>5558.2</v>
          </cell>
        </row>
        <row r="44">
          <cell r="E44">
            <v>8756.7800000000007</v>
          </cell>
          <cell r="F44">
            <v>20072.384239999996</v>
          </cell>
          <cell r="G44">
            <v>10394.5</v>
          </cell>
          <cell r="H44">
            <v>15337.87</v>
          </cell>
          <cell r="I44">
            <v>10404.07</v>
          </cell>
        </row>
        <row r="45">
          <cell r="E45">
            <v>2078.35</v>
          </cell>
          <cell r="F45">
            <v>2170.5599499999998</v>
          </cell>
          <cell r="G45">
            <v>25875.15</v>
          </cell>
          <cell r="H45">
            <v>23237</v>
          </cell>
          <cell r="I45">
            <v>24403.1</v>
          </cell>
        </row>
        <row r="46">
          <cell r="E46">
            <v>7844</v>
          </cell>
          <cell r="F46">
            <v>5470.2154499999997</v>
          </cell>
          <cell r="G46">
            <v>8450.66</v>
          </cell>
          <cell r="H46">
            <v>7846.05</v>
          </cell>
          <cell r="I46">
            <v>8488.32</v>
          </cell>
        </row>
        <row r="47">
          <cell r="E47">
            <v>16381.4</v>
          </cell>
          <cell r="F47">
            <v>19417.304079999998</v>
          </cell>
          <cell r="G47">
            <v>39309.4</v>
          </cell>
          <cell r="H47">
            <v>25328.1</v>
          </cell>
          <cell r="I47">
            <v>41795.56</v>
          </cell>
        </row>
        <row r="48">
          <cell r="E48">
            <v>2759.01</v>
          </cell>
          <cell r="F48">
            <v>9478.20687</v>
          </cell>
          <cell r="G48">
            <v>2994.35</v>
          </cell>
          <cell r="H48">
            <v>8898.0300000000007</v>
          </cell>
          <cell r="I48">
            <v>3000.6</v>
          </cell>
        </row>
        <row r="49">
          <cell r="E49">
            <v>3150</v>
          </cell>
          <cell r="F49">
            <v>3104.6970999999994</v>
          </cell>
          <cell r="G49">
            <v>3416.9</v>
          </cell>
          <cell r="H49">
            <v>3630.4</v>
          </cell>
          <cell r="I49">
            <v>3425.71</v>
          </cell>
        </row>
        <row r="50">
          <cell r="E50">
            <v>11074.88</v>
          </cell>
          <cell r="F50">
            <v>16377.64085</v>
          </cell>
          <cell r="G50">
            <v>11609.68</v>
          </cell>
          <cell r="H50">
            <v>16994.36</v>
          </cell>
          <cell r="I50">
            <v>11592.22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554</v>
          </cell>
          <cell r="I51">
            <v>0</v>
          </cell>
        </row>
        <row r="52">
          <cell r="E52">
            <v>0</v>
          </cell>
          <cell r="F52">
            <v>5490.5</v>
          </cell>
          <cell r="G52">
            <v>0</v>
          </cell>
          <cell r="H52">
            <v>6955</v>
          </cell>
          <cell r="I52">
            <v>0</v>
          </cell>
        </row>
        <row r="53">
          <cell r="E53">
            <v>29806.16</v>
          </cell>
          <cell r="F53">
            <v>61243.33</v>
          </cell>
          <cell r="G53">
            <v>105150.42300835656</v>
          </cell>
          <cell r="H53">
            <v>72332.789999999994</v>
          </cell>
          <cell r="I53">
            <v>34347.550000000003</v>
          </cell>
        </row>
        <row r="54">
          <cell r="E54">
            <v>16503.450100000002</v>
          </cell>
          <cell r="F54">
            <v>12354.25</v>
          </cell>
          <cell r="G54">
            <v>23889.07</v>
          </cell>
          <cell r="H54">
            <v>23547.06</v>
          </cell>
          <cell r="I54">
            <v>11683.440000000002</v>
          </cell>
        </row>
        <row r="55">
          <cell r="E55">
            <v>2283.17</v>
          </cell>
          <cell r="F55">
            <v>1930.75</v>
          </cell>
          <cell r="G55">
            <v>2406.4699999999998</v>
          </cell>
          <cell r="H55">
            <v>4635.0600000000004</v>
          </cell>
          <cell r="I55">
            <v>2406.4699999999998</v>
          </cell>
        </row>
        <row r="56">
          <cell r="E56">
            <v>10225</v>
          </cell>
          <cell r="F56">
            <v>10423.5</v>
          </cell>
          <cell r="G56">
            <v>14876</v>
          </cell>
          <cell r="H56">
            <v>18700</v>
          </cell>
          <cell r="I56">
            <v>14876</v>
          </cell>
        </row>
        <row r="57">
          <cell r="E57">
            <v>3995.2801000000004</v>
          </cell>
          <cell r="F57">
            <v>0</v>
          </cell>
          <cell r="G57">
            <v>6394.5999999999995</v>
          </cell>
          <cell r="H57">
            <v>0</v>
          </cell>
          <cell r="I57">
            <v>0</v>
          </cell>
        </row>
        <row r="58">
          <cell r="E58">
            <v>1130.9454000000001</v>
          </cell>
          <cell r="F58">
            <v>0</v>
          </cell>
          <cell r="G58">
            <v>1808.1514</v>
          </cell>
          <cell r="H58">
            <v>0</v>
          </cell>
        </row>
        <row r="59">
          <cell r="E59">
            <v>500.78250000000003</v>
          </cell>
          <cell r="F59">
            <v>0</v>
          </cell>
          <cell r="G59">
            <v>814.80399999999997</v>
          </cell>
          <cell r="H59">
            <v>0</v>
          </cell>
        </row>
        <row r="60">
          <cell r="E60">
            <v>1334.8132000000001</v>
          </cell>
          <cell r="F60">
            <v>0</v>
          </cell>
          <cell r="G60">
            <v>2131.7759362339957</v>
          </cell>
          <cell r="H60">
            <v>0</v>
          </cell>
        </row>
        <row r="61">
          <cell r="E61">
            <v>1028.739</v>
          </cell>
          <cell r="F61">
            <v>0</v>
          </cell>
          <cell r="G61">
            <v>1639.8686637660041</v>
          </cell>
          <cell r="H61">
            <v>0</v>
          </cell>
        </row>
        <row r="62">
          <cell r="E62">
            <v>0</v>
          </cell>
          <cell r="F62">
            <v>0</v>
          </cell>
          <cell r="G62">
            <v>212</v>
          </cell>
          <cell r="H62">
            <v>212</v>
          </cell>
          <cell r="I62">
            <v>226.84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-5825.87</v>
          </cell>
        </row>
        <row r="64">
          <cell r="E64">
            <v>737516.50009999995</v>
          </cell>
          <cell r="F64">
            <v>880281.55494000006</v>
          </cell>
          <cell r="G64">
            <v>1021656.5333798227</v>
          </cell>
          <cell r="H64">
            <v>1136411.6134500415</v>
          </cell>
          <cell r="I64">
            <v>927807.99909232347</v>
          </cell>
        </row>
        <row r="65">
          <cell r="E65">
            <v>199768.76887886552</v>
          </cell>
          <cell r="F65">
            <v>232465.08981027859</v>
          </cell>
          <cell r="G65">
            <v>272271.39630295278</v>
          </cell>
          <cell r="H65">
            <v>283156.11452019715</v>
          </cell>
          <cell r="I65">
            <v>197310.01802480113</v>
          </cell>
        </row>
        <row r="66">
          <cell r="E66">
            <v>80465.348494970676</v>
          </cell>
          <cell r="F66">
            <v>95364.01190003645</v>
          </cell>
          <cell r="G66">
            <v>106872.36750433104</v>
          </cell>
          <cell r="H66">
            <v>129860.1447493256</v>
          </cell>
          <cell r="I66">
            <v>97932.664406535463</v>
          </cell>
        </row>
        <row r="67">
          <cell r="E67">
            <v>286835.068107386</v>
          </cell>
          <cell r="F67">
            <v>348810.12208986108</v>
          </cell>
          <cell r="G67">
            <v>408278.09208341682</v>
          </cell>
          <cell r="H67">
            <v>455332.21378126141</v>
          </cell>
          <cell r="I67">
            <v>410438.9775636929</v>
          </cell>
        </row>
        <row r="68">
          <cell r="E68">
            <v>170447.09626577786</v>
          </cell>
          <cell r="F68">
            <v>203642.49963682401</v>
          </cell>
          <cell r="G68">
            <v>246060.37748912224</v>
          </cell>
          <cell r="H68">
            <v>267929.1060892574</v>
          </cell>
          <cell r="I68">
            <v>222126.33909729388</v>
          </cell>
        </row>
        <row r="70">
          <cell r="E70">
            <v>91157.84</v>
          </cell>
          <cell r="F70">
            <v>133343.81</v>
          </cell>
          <cell r="G70">
            <v>128163.73999999999</v>
          </cell>
          <cell r="H70">
            <v>153248.69999999998</v>
          </cell>
          <cell r="I70">
            <v>142922.71</v>
          </cell>
        </row>
        <row r="71">
          <cell r="E71">
            <v>55475.5</v>
          </cell>
          <cell r="F71">
            <v>58466.2</v>
          </cell>
          <cell r="G71">
            <v>102530.4</v>
          </cell>
          <cell r="H71">
            <v>102722.5</v>
          </cell>
          <cell r="I71">
            <v>119342.39999999999</v>
          </cell>
        </row>
        <row r="72">
          <cell r="E72">
            <v>50000</v>
          </cell>
          <cell r="F72">
            <v>49358</v>
          </cell>
          <cell r="G72">
            <v>85120</v>
          </cell>
          <cell r="H72">
            <v>85120</v>
          </cell>
          <cell r="I72">
            <v>85120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E74">
            <v>5475.5</v>
          </cell>
          <cell r="F74">
            <v>9108.2000000000007</v>
          </cell>
          <cell r="G74">
            <v>15027.4</v>
          </cell>
          <cell r="H74">
            <v>15219.5</v>
          </cell>
          <cell r="I74">
            <v>34222.400000000001</v>
          </cell>
        </row>
        <row r="75">
          <cell r="E75">
            <v>0</v>
          </cell>
          <cell r="F75">
            <v>0</v>
          </cell>
          <cell r="G75">
            <v>2383</v>
          </cell>
          <cell r="H75">
            <v>2383</v>
          </cell>
        </row>
        <row r="76">
          <cell r="E76">
            <v>4410</v>
          </cell>
          <cell r="F76">
            <v>30947.5</v>
          </cell>
          <cell r="G76">
            <v>4410</v>
          </cell>
          <cell r="H76">
            <v>9810</v>
          </cell>
          <cell r="I76">
            <v>4410</v>
          </cell>
        </row>
        <row r="77">
          <cell r="E77">
            <v>17492.5</v>
          </cell>
          <cell r="F77">
            <v>20148</v>
          </cell>
          <cell r="G77">
            <v>19136.400000000001</v>
          </cell>
          <cell r="H77">
            <v>25629.4</v>
          </cell>
          <cell r="I77">
            <v>19170.310000000001</v>
          </cell>
        </row>
        <row r="78">
          <cell r="E78">
            <v>0</v>
          </cell>
          <cell r="F78">
            <v>4016.2</v>
          </cell>
          <cell r="G78">
            <v>0</v>
          </cell>
          <cell r="H78">
            <v>4450</v>
          </cell>
        </row>
        <row r="79">
          <cell r="E79">
            <v>13779.84</v>
          </cell>
          <cell r="F79">
            <v>19765.91</v>
          </cell>
          <cell r="G79">
            <v>2086.94</v>
          </cell>
          <cell r="H79">
            <v>10636.8</v>
          </cell>
        </row>
        <row r="81">
          <cell r="E81">
            <v>133671.98015861871</v>
          </cell>
          <cell r="F81">
            <v>116653.47849700002</v>
          </cell>
          <cell r="G81">
            <v>135802.29386051901</v>
          </cell>
          <cell r="H81">
            <v>145440.37480604593</v>
          </cell>
          <cell r="I81">
            <v>156179.85</v>
          </cell>
        </row>
        <row r="83">
          <cell r="E83">
            <v>134574.26294918588</v>
          </cell>
          <cell r="F83">
            <v>194538.0677671053</v>
          </cell>
          <cell r="G83">
            <v>192026.90281510653</v>
          </cell>
          <cell r="H83">
            <v>223972.79630783424</v>
          </cell>
          <cell r="I83">
            <v>188056.19283669308</v>
          </cell>
        </row>
        <row r="84">
          <cell r="E84">
            <v>32297.823107804608</v>
          </cell>
          <cell r="F84">
            <v>46689.136264105269</v>
          </cell>
          <cell r="G84">
            <v>46086.456675625566</v>
          </cell>
          <cell r="H84">
            <v>53753.471113880223</v>
          </cell>
          <cell r="I84">
            <v>45133.486280806341</v>
          </cell>
        </row>
        <row r="85">
          <cell r="E85">
            <v>0</v>
          </cell>
          <cell r="F85">
            <v>0</v>
          </cell>
          <cell r="G85">
            <v>29.28</v>
          </cell>
          <cell r="H85">
            <v>29.28</v>
          </cell>
          <cell r="I85">
            <v>32348.579751515703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2823.9416849894096</v>
          </cell>
        </row>
        <row r="87">
          <cell r="E87">
            <v>4548.7824934802347</v>
          </cell>
          <cell r="F87">
            <v>17839.676482509047</v>
          </cell>
          <cell r="G87">
            <v>5989.9753325212896</v>
          </cell>
          <cell r="H87">
            <v>18462.165711932317</v>
          </cell>
          <cell r="I87">
            <v>25589.667159415658</v>
          </cell>
        </row>
        <row r="88">
          <cell r="E88">
            <v>10.443822309238392</v>
          </cell>
          <cell r="F88">
            <v>28.018254333060213</v>
          </cell>
          <cell r="G88">
            <v>907.9220358997635</v>
          </cell>
          <cell r="H88">
            <v>998.8063933308423</v>
          </cell>
          <cell r="I88">
            <v>7951.6042407723307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2">
          <cell r="E92">
            <v>123455.6631078046</v>
          </cell>
          <cell r="F92">
            <v>180032.94626410527</v>
          </cell>
          <cell r="G92">
            <v>174250.19667562557</v>
          </cell>
          <cell r="H92">
            <v>207002.17111388021</v>
          </cell>
          <cell r="I92">
            <v>188056.19628080633</v>
          </cell>
        </row>
        <row r="93">
          <cell r="E93">
            <v>58768.969523235384</v>
          </cell>
          <cell r="F93">
            <v>67759.244987372047</v>
          </cell>
          <cell r="G93">
            <v>91147.274171613797</v>
          </cell>
          <cell r="H93">
            <v>96897.758714873591</v>
          </cell>
          <cell r="I93">
            <v>121624.70096970597</v>
          </cell>
        </row>
        <row r="94">
          <cell r="E94">
            <v>3882.8975543942843</v>
          </cell>
          <cell r="F94">
            <v>8148.0667677032679</v>
          </cell>
          <cell r="G94">
            <v>2643.8573664904097</v>
          </cell>
          <cell r="H94">
            <v>5178.614901357445</v>
          </cell>
          <cell r="I94">
            <v>4970.1376790523045</v>
          </cell>
        </row>
        <row r="95">
          <cell r="E95">
            <v>24516.295140659582</v>
          </cell>
          <cell r="F95">
            <v>57358.641895051027</v>
          </cell>
          <cell r="G95">
            <v>31656.237702505525</v>
          </cell>
          <cell r="H95">
            <v>54534.436409344271</v>
          </cell>
          <cell r="I95">
            <v>71046.839841509674</v>
          </cell>
        </row>
        <row r="96">
          <cell r="E96">
            <v>8548.9040975002208</v>
          </cell>
          <cell r="F96">
            <v>17945.551086715775</v>
          </cell>
          <cell r="G96">
            <v>9643.5481278113293</v>
          </cell>
          <cell r="H96">
            <v>16128.142079687837</v>
          </cell>
          <cell r="I96">
            <v>13994.82434642515</v>
          </cell>
        </row>
        <row r="98">
          <cell r="E98">
            <v>860972.16320780455</v>
          </cell>
          <cell r="F98">
            <v>1060314.5012041053</v>
          </cell>
          <cell r="G98">
            <v>1195906.7300554484</v>
          </cell>
          <cell r="H98">
            <v>1343413.7845639216</v>
          </cell>
          <cell r="I98">
            <v>1348694.0953731297</v>
          </cell>
        </row>
        <row r="101">
          <cell r="E101">
            <v>16.739376419519463</v>
          </cell>
          <cell r="F101">
            <v>20.451745836748369</v>
          </cell>
          <cell r="G101">
            <v>17.055653341654335</v>
          </cell>
          <cell r="H101">
            <v>18.215422005891032</v>
          </cell>
          <cell r="I101">
            <v>16.202830911163218</v>
          </cell>
        </row>
        <row r="102">
          <cell r="E102">
            <v>12.715363417327877</v>
          </cell>
          <cell r="F102">
            <v>15.659372968855029</v>
          </cell>
          <cell r="G102">
            <v>16.567154857278201</v>
          </cell>
          <cell r="H102">
            <v>18.493732783637824</v>
          </cell>
          <cell r="I102">
            <v>17.924586824159746</v>
          </cell>
        </row>
        <row r="104">
          <cell r="E104">
            <v>183901.4985116187</v>
          </cell>
          <cell r="F104">
            <v>248498.7</v>
          </cell>
          <cell r="G104">
            <v>365862.5</v>
          </cell>
          <cell r="H104">
            <v>365154.5</v>
          </cell>
          <cell r="I104">
            <v>275522.25</v>
          </cell>
        </row>
        <row r="106">
          <cell r="E106">
            <v>183901.4985116187</v>
          </cell>
          <cell r="F106">
            <v>170038.7</v>
          </cell>
          <cell r="G106">
            <v>233501.5</v>
          </cell>
          <cell r="H106">
            <v>261152.5</v>
          </cell>
          <cell r="I106">
            <v>275522.25</v>
          </cell>
        </row>
        <row r="107">
          <cell r="E107">
            <v>133901.4985116187</v>
          </cell>
          <cell r="F107">
            <v>120680.7</v>
          </cell>
          <cell r="G107">
            <v>144471.5</v>
          </cell>
          <cell r="H107">
            <v>154051.5</v>
          </cell>
          <cell r="I107">
            <v>156179.85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E109">
            <v>50000</v>
          </cell>
          <cell r="F109">
            <v>49358</v>
          </cell>
          <cell r="G109">
            <v>85120</v>
          </cell>
          <cell r="H109">
            <v>85120</v>
          </cell>
          <cell r="I109">
            <v>119342.39999999999</v>
          </cell>
        </row>
        <row r="110">
          <cell r="E110">
            <v>0</v>
          </cell>
          <cell r="F110">
            <v>0</v>
          </cell>
          <cell r="G110">
            <v>3910</v>
          </cell>
          <cell r="H110">
            <v>21981</v>
          </cell>
          <cell r="I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E113">
            <v>0</v>
          </cell>
          <cell r="F113">
            <v>78460</v>
          </cell>
          <cell r="G113">
            <v>132361</v>
          </cell>
          <cell r="H113">
            <v>104002</v>
          </cell>
          <cell r="I113">
            <v>0</v>
          </cell>
        </row>
        <row r="114">
          <cell r="E114">
            <v>0</v>
          </cell>
          <cell r="F114">
            <v>78460</v>
          </cell>
          <cell r="G114">
            <v>132361</v>
          </cell>
          <cell r="H114">
            <v>104002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  <row r="121">
          <cell r="E121">
            <v>26</v>
          </cell>
          <cell r="F121">
            <v>26</v>
          </cell>
          <cell r="G121">
            <v>26</v>
          </cell>
          <cell r="H121">
            <v>26</v>
          </cell>
          <cell r="I121">
            <v>26</v>
          </cell>
        </row>
        <row r="123">
          <cell r="E123">
            <v>67711.172299999991</v>
          </cell>
          <cell r="F123">
            <v>67711.172299999991</v>
          </cell>
          <cell r="G123">
            <v>72185.401799999992</v>
          </cell>
          <cell r="H123">
            <v>72641.569999999992</v>
          </cell>
          <cell r="I123">
            <v>75242.688080000007</v>
          </cell>
        </row>
        <row r="124">
          <cell r="E124">
            <v>16640.085999999999</v>
          </cell>
          <cell r="F124">
            <v>16640.085999999999</v>
          </cell>
          <cell r="G124">
            <v>16890.8</v>
          </cell>
          <cell r="H124">
            <v>16890.8</v>
          </cell>
          <cell r="I124">
            <v>13261.815999999999</v>
          </cell>
        </row>
        <row r="125">
          <cell r="E125">
            <v>7368.2259999999997</v>
          </cell>
          <cell r="F125">
            <v>7368.2259999999997</v>
          </cell>
          <cell r="G125">
            <v>7445.3</v>
          </cell>
          <cell r="H125">
            <v>7445.3</v>
          </cell>
          <cell r="I125">
            <v>6848.3220000000001</v>
          </cell>
        </row>
        <row r="126">
          <cell r="E126">
            <v>27500.190999999999</v>
          </cell>
          <cell r="F126">
            <v>27500.190999999999</v>
          </cell>
          <cell r="G126">
            <v>29959.8318</v>
          </cell>
          <cell r="H126">
            <v>29980.05</v>
          </cell>
          <cell r="I126">
            <v>35849.168080000003</v>
          </cell>
        </row>
        <row r="127">
          <cell r="E127">
            <v>16202.6693</v>
          </cell>
          <cell r="F127">
            <v>16202.6693</v>
          </cell>
          <cell r="G127">
            <v>17889.47</v>
          </cell>
          <cell r="H127">
            <v>18325.419999999998</v>
          </cell>
          <cell r="I127">
            <v>19283.382000000001</v>
          </cell>
        </row>
        <row r="135">
          <cell r="D135">
            <v>1250.83</v>
          </cell>
          <cell r="E135">
            <v>23.95</v>
          </cell>
          <cell r="F135">
            <v>550.30999999999995</v>
          </cell>
          <cell r="G135">
            <v>660.05499999999995</v>
          </cell>
        </row>
        <row r="137">
          <cell r="H137">
            <v>360371.96819007403</v>
          </cell>
        </row>
        <row r="138">
          <cell r="D138">
            <v>360371.96819007403</v>
          </cell>
          <cell r="G138">
            <v>360371.96819007403</v>
          </cell>
          <cell r="H138">
            <v>720743.93638014805</v>
          </cell>
          <cell r="I138">
            <v>929.81461137763097</v>
          </cell>
        </row>
        <row r="139">
          <cell r="H139">
            <v>0</v>
          </cell>
          <cell r="I139">
            <v>197.45435468391915</v>
          </cell>
        </row>
        <row r="140">
          <cell r="D140">
            <v>122475.51936856785</v>
          </cell>
          <cell r="E140">
            <v>0</v>
          </cell>
          <cell r="F140">
            <v>0</v>
          </cell>
          <cell r="G140">
            <v>-197299.76577867966</v>
          </cell>
        </row>
      </sheetData>
      <sheetData sheetId="9">
        <row r="9">
          <cell r="E9">
            <v>343</v>
          </cell>
          <cell r="F9">
            <v>343</v>
          </cell>
          <cell r="G9">
            <v>640</v>
          </cell>
          <cell r="H9">
            <v>662</v>
          </cell>
          <cell r="I9">
            <v>2172.1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E11">
            <v>343</v>
          </cell>
          <cell r="F11">
            <v>343</v>
          </cell>
          <cell r="G11">
            <v>640</v>
          </cell>
          <cell r="H11">
            <v>662</v>
          </cell>
          <cell r="I11">
            <v>2172.1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E13">
            <v>343</v>
          </cell>
          <cell r="F13">
            <v>341</v>
          </cell>
          <cell r="G13">
            <v>640</v>
          </cell>
          <cell r="H13">
            <v>647</v>
          </cell>
          <cell r="I13">
            <v>2082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10</v>
          </cell>
        </row>
        <row r="16">
          <cell r="E16">
            <v>1762</v>
          </cell>
          <cell r="F16">
            <v>1713</v>
          </cell>
          <cell r="G16">
            <v>2063</v>
          </cell>
          <cell r="H16">
            <v>2120</v>
          </cell>
          <cell r="I16">
            <v>2169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377478.52574263146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10</v>
          </cell>
          <cell r="F53">
            <v>3</v>
          </cell>
          <cell r="G53">
            <v>3</v>
          </cell>
          <cell r="H53">
            <v>3</v>
          </cell>
          <cell r="I53">
            <v>3</v>
          </cell>
        </row>
        <row r="54">
          <cell r="E54">
            <v>10</v>
          </cell>
          <cell r="F54">
            <v>3</v>
          </cell>
          <cell r="G54">
            <v>3</v>
          </cell>
          <cell r="H54">
            <v>3</v>
          </cell>
          <cell r="I54">
            <v>3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0">
        <row r="9">
          <cell r="E9">
            <v>333960.00896000001</v>
          </cell>
          <cell r="F9">
            <v>335831.8</v>
          </cell>
          <cell r="G9">
            <v>206389.45545000001</v>
          </cell>
          <cell r="H9">
            <v>206389.45545000001</v>
          </cell>
          <cell r="J9">
            <v>206389.45545000001</v>
          </cell>
        </row>
        <row r="10">
          <cell r="E10">
            <v>54771.550239999997</v>
          </cell>
          <cell r="F10">
            <v>54801.84</v>
          </cell>
          <cell r="G10">
            <v>51995.44904</v>
          </cell>
          <cell r="H10">
            <v>51995.44904</v>
          </cell>
          <cell r="J10">
            <v>52397.44904</v>
          </cell>
        </row>
        <row r="11">
          <cell r="E11">
            <v>2523447.8798400001</v>
          </cell>
          <cell r="F11">
            <v>2498160.6</v>
          </cell>
          <cell r="G11">
            <v>2401799.6956699998</v>
          </cell>
          <cell r="H11">
            <v>2401799.6956699998</v>
          </cell>
          <cell r="J11">
            <v>2454564.6956699998</v>
          </cell>
        </row>
        <row r="13">
          <cell r="E13">
            <v>1287240.6520348666</v>
          </cell>
          <cell r="F13">
            <v>1241469.73</v>
          </cell>
          <cell r="G13">
            <v>2208398.9912899998</v>
          </cell>
          <cell r="H13">
            <v>2208398.9912899998</v>
          </cell>
          <cell r="J13">
            <v>2384520.9912899998</v>
          </cell>
        </row>
        <row r="14">
          <cell r="E14">
            <v>61481.522715299994</v>
          </cell>
          <cell r="F14">
            <v>59414</v>
          </cell>
          <cell r="G14">
            <v>52461.495210000001</v>
          </cell>
          <cell r="H14">
            <v>52461.495210000001</v>
          </cell>
          <cell r="J14">
            <v>52461.495210000001</v>
          </cell>
        </row>
        <row r="15">
          <cell r="E15">
            <v>19501.509705984998</v>
          </cell>
          <cell r="F15">
            <v>18687.419999999998</v>
          </cell>
          <cell r="G15">
            <v>34856.207139999991</v>
          </cell>
          <cell r="H15">
            <v>34856.207139999991</v>
          </cell>
          <cell r="J15">
            <v>72317.207139999984</v>
          </cell>
        </row>
        <row r="16">
          <cell r="E16">
            <v>21230.136130450002</v>
          </cell>
          <cell r="F16">
            <v>20638.54</v>
          </cell>
          <cell r="G16">
            <v>34910.081120000003</v>
          </cell>
          <cell r="H16">
            <v>34910.081120000003</v>
          </cell>
          <cell r="J16">
            <v>39829.081120000003</v>
          </cell>
        </row>
        <row r="17">
          <cell r="E17">
            <v>65900.51835274999</v>
          </cell>
          <cell r="F17">
            <v>63145.1</v>
          </cell>
          <cell r="G17">
            <v>66219.018420000008</v>
          </cell>
          <cell r="H17">
            <v>66219.018420000008</v>
          </cell>
          <cell r="J17">
            <v>73673.018420000008</v>
          </cell>
        </row>
        <row r="18">
          <cell r="E18">
            <v>69863.812080000003</v>
          </cell>
          <cell r="F18">
            <v>70028.19</v>
          </cell>
          <cell r="G18">
            <v>62363.401409999999</v>
          </cell>
          <cell r="H18">
            <v>62363.401409999999</v>
          </cell>
          <cell r="J18">
            <v>73415.401409999991</v>
          </cell>
        </row>
        <row r="19">
          <cell r="E19">
            <v>721.92399999999998</v>
          </cell>
          <cell r="F19">
            <v>729.3</v>
          </cell>
          <cell r="G19">
            <v>77.756699999999995</v>
          </cell>
          <cell r="H19">
            <v>77.756699999999995</v>
          </cell>
          <cell r="J19">
            <v>77.756699999999995</v>
          </cell>
        </row>
        <row r="20">
          <cell r="E20">
            <v>9642.3235199999981</v>
          </cell>
          <cell r="F20">
            <v>9688.2999999999993</v>
          </cell>
          <cell r="G20">
            <v>1940.5234699999999</v>
          </cell>
          <cell r="H20">
            <v>1940.5234699999999</v>
          </cell>
          <cell r="J20">
            <v>1940.5234699999999</v>
          </cell>
        </row>
        <row r="21">
          <cell r="E21">
            <v>73627.12</v>
          </cell>
          <cell r="F21">
            <v>4657.4399999999996</v>
          </cell>
          <cell r="G21">
            <v>8642.7563000000009</v>
          </cell>
          <cell r="H21">
            <v>8642.76</v>
          </cell>
          <cell r="J21">
            <v>15307.76</v>
          </cell>
        </row>
        <row r="24">
          <cell r="E24">
            <v>7021.8236799999995</v>
          </cell>
          <cell r="F24">
            <v>41374</v>
          </cell>
          <cell r="G24">
            <v>0</v>
          </cell>
          <cell r="M24">
            <v>25225</v>
          </cell>
        </row>
        <row r="25">
          <cell r="E25">
            <v>28.536299999999997</v>
          </cell>
          <cell r="F25">
            <v>350</v>
          </cell>
          <cell r="G25">
            <v>4000</v>
          </cell>
          <cell r="H25">
            <v>402</v>
          </cell>
          <cell r="M25">
            <v>1980</v>
          </cell>
        </row>
        <row r="26">
          <cell r="E26">
            <v>24734.724180000001</v>
          </cell>
          <cell r="F26">
            <v>59981</v>
          </cell>
          <cell r="G26">
            <v>76721</v>
          </cell>
          <cell r="H26">
            <v>52765</v>
          </cell>
          <cell r="K26">
            <v>6133</v>
          </cell>
          <cell r="L26">
            <v>17648</v>
          </cell>
          <cell r="M26">
            <v>6942</v>
          </cell>
        </row>
        <row r="28">
          <cell r="E28">
            <v>49789.970220000003</v>
          </cell>
          <cell r="F28">
            <v>87246</v>
          </cell>
          <cell r="G28">
            <v>118684</v>
          </cell>
          <cell r="H28">
            <v>176122</v>
          </cell>
          <cell r="L28">
            <v>4000</v>
          </cell>
          <cell r="M28">
            <v>189141</v>
          </cell>
        </row>
        <row r="29">
          <cell r="E29">
            <v>294.53363999999999</v>
          </cell>
          <cell r="F29">
            <v>3614</v>
          </cell>
          <cell r="G29">
            <v>0</v>
          </cell>
          <cell r="J29">
            <v>2428</v>
          </cell>
        </row>
        <row r="30">
          <cell r="E30">
            <v>6051</v>
          </cell>
          <cell r="F30">
            <v>5980</v>
          </cell>
          <cell r="G30">
            <v>23979</v>
          </cell>
          <cell r="H30">
            <v>37461</v>
          </cell>
          <cell r="M30">
            <v>22264</v>
          </cell>
        </row>
        <row r="31">
          <cell r="E31">
            <v>7343.0961600000001</v>
          </cell>
          <cell r="F31">
            <v>9001</v>
          </cell>
          <cell r="G31">
            <v>5394</v>
          </cell>
          <cell r="H31">
            <v>4919</v>
          </cell>
          <cell r="J31">
            <v>1671</v>
          </cell>
          <cell r="K31">
            <v>4000</v>
          </cell>
        </row>
        <row r="32">
          <cell r="E32">
            <v>19481</v>
          </cell>
          <cell r="F32">
            <v>36419</v>
          </cell>
          <cell r="G32">
            <v>18903</v>
          </cell>
          <cell r="H32">
            <v>7454</v>
          </cell>
          <cell r="J32">
            <v>3500</v>
          </cell>
          <cell r="M32">
            <v>45864</v>
          </cell>
        </row>
        <row r="33">
          <cell r="E33">
            <v>3509.8284600000002</v>
          </cell>
          <cell r="F33">
            <v>4419</v>
          </cell>
          <cell r="G33">
            <v>0</v>
          </cell>
          <cell r="H33">
            <v>11052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803.48735999999997</v>
          </cell>
          <cell r="F35">
            <v>1268</v>
          </cell>
          <cell r="G35">
            <v>0</v>
          </cell>
        </row>
        <row r="36">
          <cell r="E36">
            <v>2534</v>
          </cell>
          <cell r="F36">
            <v>7539</v>
          </cell>
          <cell r="G36">
            <v>0</v>
          </cell>
          <cell r="H36">
            <v>6665</v>
          </cell>
        </row>
        <row r="39">
          <cell r="E39">
            <v>6.1315100000000005</v>
          </cell>
          <cell r="F39">
            <v>47525</v>
          </cell>
          <cell r="G39">
            <v>141.18399000000002</v>
          </cell>
          <cell r="H39">
            <v>666.87300000000005</v>
          </cell>
        </row>
        <row r="40">
          <cell r="E40">
            <v>2.3315600000000001</v>
          </cell>
          <cell r="F40">
            <v>2810</v>
          </cell>
          <cell r="G40">
            <v>571.68643999999995</v>
          </cell>
          <cell r="H40">
            <v>154.428</v>
          </cell>
        </row>
        <row r="41">
          <cell r="E41">
            <v>14.02247</v>
          </cell>
          <cell r="F41">
            <v>4403</v>
          </cell>
          <cell r="G41">
            <v>322.88103000000001</v>
          </cell>
          <cell r="H41">
            <v>1056.3709999999999</v>
          </cell>
        </row>
        <row r="43">
          <cell r="E43">
            <v>11.787930000000001</v>
          </cell>
          <cell r="F43">
            <v>5040</v>
          </cell>
          <cell r="G43">
            <v>271.42856999999998</v>
          </cell>
          <cell r="H43">
            <v>1148.9290000000001</v>
          </cell>
        </row>
        <row r="44">
          <cell r="E44">
            <v>28.174300000000006</v>
          </cell>
          <cell r="F44">
            <v>4735</v>
          </cell>
          <cell r="G44">
            <v>648.74070000000006</v>
          </cell>
          <cell r="H44">
            <v>2875.09</v>
          </cell>
        </row>
        <row r="45">
          <cell r="E45">
            <v>0</v>
          </cell>
          <cell r="F45">
            <v>337.2</v>
          </cell>
          <cell r="G45">
            <v>0</v>
          </cell>
          <cell r="H45">
            <v>0</v>
          </cell>
        </row>
        <row r="46">
          <cell r="E46">
            <v>3.0114700000000001</v>
          </cell>
          <cell r="F46">
            <v>817</v>
          </cell>
          <cell r="G46">
            <v>69.342029999999994</v>
          </cell>
          <cell r="H46">
            <v>232.80099999999999</v>
          </cell>
        </row>
        <row r="47">
          <cell r="E47">
            <v>0</v>
          </cell>
          <cell r="F47">
            <v>135.6</v>
          </cell>
          <cell r="G47">
            <v>0</v>
          </cell>
          <cell r="H47">
            <v>0</v>
          </cell>
        </row>
        <row r="48">
          <cell r="E48">
            <v>0.52899000000000007</v>
          </cell>
          <cell r="F48">
            <v>3822</v>
          </cell>
          <cell r="G48">
            <v>12.18051</v>
          </cell>
          <cell r="H48">
            <v>437.03699999999998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E50">
            <v>11.01177</v>
          </cell>
          <cell r="F50">
            <v>1099.2</v>
          </cell>
          <cell r="G50">
            <v>253.55672999999999</v>
          </cell>
          <cell r="H50">
            <v>729.351</v>
          </cell>
        </row>
        <row r="51">
          <cell r="E51">
            <v>38748</v>
          </cell>
          <cell r="F51">
            <v>459</v>
          </cell>
          <cell r="G51">
            <v>0</v>
          </cell>
          <cell r="H51">
            <v>0</v>
          </cell>
        </row>
        <row r="54">
          <cell r="E54">
            <v>338287.05732000002</v>
          </cell>
          <cell r="F54">
            <v>331339.83</v>
          </cell>
          <cell r="G54">
            <v>361761.19408000004</v>
          </cell>
          <cell r="H54">
            <v>345765.66200000001</v>
          </cell>
        </row>
        <row r="55">
          <cell r="E55">
            <v>54629.210979999996</v>
          </cell>
          <cell r="F55">
            <v>54124.1</v>
          </cell>
          <cell r="G55">
            <v>87433.066272947981</v>
          </cell>
          <cell r="H55">
            <v>57235.195</v>
          </cell>
        </row>
        <row r="56">
          <cell r="E56">
            <v>2539732.8751599998</v>
          </cell>
          <cell r="F56">
            <v>2524474.2599999998</v>
          </cell>
          <cell r="G56">
            <v>2644199.5930400002</v>
          </cell>
          <cell r="H56">
            <v>2613625.0720000002</v>
          </cell>
        </row>
        <row r="58">
          <cell r="E58">
            <v>1313601.1900348668</v>
          </cell>
          <cell r="F58">
            <v>1283240.23</v>
          </cell>
          <cell r="G58">
            <v>1454234.4553588799</v>
          </cell>
          <cell r="H58">
            <v>2196187.054</v>
          </cell>
        </row>
        <row r="59">
          <cell r="E59">
            <v>61287.150655299993</v>
          </cell>
          <cell r="F59">
            <v>58834</v>
          </cell>
          <cell r="G59">
            <v>64328.450192643999</v>
          </cell>
          <cell r="H59">
            <v>62037.995000000003</v>
          </cell>
        </row>
        <row r="60">
          <cell r="E60">
            <v>22527.009705984998</v>
          </cell>
          <cell r="F60">
            <v>21609.98</v>
          </cell>
          <cell r="G60">
            <v>31262.048815307997</v>
          </cell>
          <cell r="H60">
            <v>29478.22</v>
          </cell>
        </row>
        <row r="61">
          <cell r="E61">
            <v>25189.946750449999</v>
          </cell>
          <cell r="F61">
            <v>24565.32</v>
          </cell>
          <cell r="G61">
            <v>35066.034346280001</v>
          </cell>
          <cell r="H61">
            <v>34119.293000000005</v>
          </cell>
        </row>
        <row r="62">
          <cell r="E62">
            <v>75641.01835274999</v>
          </cell>
          <cell r="F62">
            <v>81327.48</v>
          </cell>
          <cell r="G62">
            <v>103945.07002463999</v>
          </cell>
          <cell r="H62">
            <v>66503.3</v>
          </cell>
        </row>
        <row r="63">
          <cell r="E63">
            <v>71699.484840000005</v>
          </cell>
          <cell r="F63">
            <v>71159.360000000001</v>
          </cell>
          <cell r="G63">
            <v>74898.03163640399</v>
          </cell>
          <cell r="H63">
            <v>73035.98</v>
          </cell>
        </row>
        <row r="64">
          <cell r="E64">
            <v>763.41155999999989</v>
          </cell>
          <cell r="F64">
            <v>770.3</v>
          </cell>
          <cell r="G64">
            <v>846.70143879199986</v>
          </cell>
          <cell r="H64">
            <v>850.41</v>
          </cell>
        </row>
        <row r="65">
          <cell r="E65">
            <v>9923.9822200000017</v>
          </cell>
          <cell r="F65">
            <v>9990.4599999999991</v>
          </cell>
          <cell r="G65">
            <v>11137.3719882</v>
          </cell>
          <cell r="H65">
            <v>10906.445000000002</v>
          </cell>
        </row>
        <row r="66">
          <cell r="E66">
            <v>35512.620000000003</v>
          </cell>
          <cell r="F66">
            <v>6233.549</v>
          </cell>
          <cell r="G66">
            <v>4570.7066559919995</v>
          </cell>
          <cell r="H66">
            <v>4445.1400000000003</v>
          </cell>
        </row>
        <row r="69">
          <cell r="E69">
            <v>4.2300000000000004</v>
          </cell>
          <cell r="F69">
            <v>4.1154280747672622</v>
          </cell>
          <cell r="G69">
            <v>4.280674510492517</v>
          </cell>
          <cell r="H69">
            <v>11.72</v>
          </cell>
          <cell r="I69">
            <v>1.4886457108173883</v>
          </cell>
          <cell r="J69">
            <v>0.39</v>
          </cell>
          <cell r="K69">
            <v>0.38</v>
          </cell>
          <cell r="L69">
            <v>0.37</v>
          </cell>
          <cell r="M69">
            <v>0.35</v>
          </cell>
        </row>
        <row r="70">
          <cell r="E70">
            <v>5.0484430610969957</v>
          </cell>
          <cell r="F70">
            <v>6.5404430610969957</v>
          </cell>
          <cell r="G70">
            <v>10.83966367367881</v>
          </cell>
          <cell r="H70">
            <v>7.65</v>
          </cell>
          <cell r="I70">
            <v>2.5232950915174066</v>
          </cell>
          <cell r="J70">
            <v>0.75129390345125502</v>
          </cell>
          <cell r="K70">
            <v>0.63129390345125502</v>
          </cell>
          <cell r="L70">
            <v>0.61129390345125501</v>
          </cell>
          <cell r="M70">
            <v>0.53129390345125505</v>
          </cell>
        </row>
        <row r="71">
          <cell r="E71">
            <v>7.92</v>
          </cell>
          <cell r="F71">
            <v>8.081618209916261</v>
          </cell>
          <cell r="G71">
            <v>7.4796931617928948</v>
          </cell>
          <cell r="H71">
            <v>13.18</v>
          </cell>
          <cell r="I71">
            <v>2.5227987900967799</v>
          </cell>
          <cell r="J71">
            <v>0.61418720435685747</v>
          </cell>
          <cell r="K71">
            <v>0.61318720435685703</v>
          </cell>
          <cell r="L71">
            <v>0.59582320435685698</v>
          </cell>
          <cell r="M71">
            <v>0.61418720435685703</v>
          </cell>
        </row>
        <row r="72">
          <cell r="E72">
            <v>7.8764049115203196</v>
          </cell>
          <cell r="F72">
            <v>7.8767365205473148</v>
          </cell>
          <cell r="G72">
            <v>8.2958074491299261</v>
          </cell>
          <cell r="H72">
            <v>7.5534727283335563</v>
          </cell>
          <cell r="I72">
            <v>3.1376126454512101</v>
          </cell>
          <cell r="J72">
            <v>0.80790099999999998</v>
          </cell>
          <cell r="K72">
            <v>0.80074520000000005</v>
          </cell>
          <cell r="L72">
            <v>0.80371400000000004</v>
          </cell>
          <cell r="M72">
            <v>0.80219989999999997</v>
          </cell>
        </row>
        <row r="73">
          <cell r="E73">
            <v>5.51</v>
          </cell>
          <cell r="F73">
            <v>5.5779510705556312</v>
          </cell>
          <cell r="G73">
            <v>5.7566000000000006</v>
          </cell>
          <cell r="H73">
            <v>5.5962139356859106</v>
          </cell>
          <cell r="I73">
            <v>2.580577237357907</v>
          </cell>
          <cell r="J73">
            <v>0.66570858539137001</v>
          </cell>
          <cell r="K73">
            <v>0.661570858539137</v>
          </cell>
          <cell r="L73">
            <v>0.63777085853913695</v>
          </cell>
          <cell r="M73">
            <v>0.61670858539136997</v>
          </cell>
        </row>
        <row r="74">
          <cell r="E74">
            <v>22.169348580344494</v>
          </cell>
          <cell r="F74">
            <v>27.069348580344496</v>
          </cell>
          <cell r="G74">
            <v>24.208006997083384</v>
          </cell>
          <cell r="H74">
            <v>24.4</v>
          </cell>
          <cell r="I74">
            <v>4.9801560774645282</v>
          </cell>
          <cell r="J74">
            <v>1.265431315171325</v>
          </cell>
          <cell r="K74">
            <v>1.2154313151713301</v>
          </cell>
          <cell r="L74">
            <v>1.2543131517132999</v>
          </cell>
          <cell r="M74">
            <v>1.2454313151713301</v>
          </cell>
        </row>
        <row r="75">
          <cell r="E75">
            <v>14.838093548605237</v>
          </cell>
          <cell r="F75">
            <v>11.038093548605236</v>
          </cell>
          <cell r="G75">
            <v>15.34</v>
          </cell>
          <cell r="H75">
            <v>8.5</v>
          </cell>
          <cell r="I75">
            <v>6.6909392245708048</v>
          </cell>
          <cell r="J75">
            <v>1.7064378057253999</v>
          </cell>
          <cell r="K75">
            <v>1.6664378057253999</v>
          </cell>
          <cell r="L75">
            <v>1.6064378057254001</v>
          </cell>
          <cell r="M75">
            <v>1.7064378057253999</v>
          </cell>
        </row>
        <row r="76">
          <cell r="E76">
            <v>49.976576128174912</v>
          </cell>
          <cell r="F76">
            <v>48.18657612817492</v>
          </cell>
          <cell r="G76">
            <v>50.51</v>
          </cell>
          <cell r="H76">
            <v>47.120181155484758</v>
          </cell>
          <cell r="I76">
            <v>17.454230903761154</v>
          </cell>
          <cell r="J76">
            <v>4.4268323950390753</v>
          </cell>
          <cell r="K76">
            <v>4.4268323950390753</v>
          </cell>
          <cell r="L76">
            <v>4.4268323950390798</v>
          </cell>
          <cell r="M76">
            <v>4.1832395039080001</v>
          </cell>
        </row>
        <row r="77">
          <cell r="E77">
            <v>9.82</v>
          </cell>
          <cell r="F77">
            <v>7.8065864084316869</v>
          </cell>
          <cell r="G77">
            <v>9.8166595154987064</v>
          </cell>
          <cell r="H77">
            <v>9.8166595154987064</v>
          </cell>
          <cell r="I77">
            <v>7.34641044183887</v>
          </cell>
          <cell r="J77">
            <v>1.9168137206514999</v>
          </cell>
          <cell r="K77">
            <v>1.9168137206514999</v>
          </cell>
          <cell r="L77">
            <v>1.90168137206515</v>
          </cell>
          <cell r="M77">
            <v>1.90168137206515</v>
          </cell>
        </row>
        <row r="78">
          <cell r="E78">
            <v>18.79</v>
          </cell>
          <cell r="F78">
            <v>16.147558949392483</v>
          </cell>
          <cell r="G78">
            <v>20.038768823707755</v>
          </cell>
          <cell r="H78">
            <v>19.82</v>
          </cell>
          <cell r="I78">
            <v>4.5721558310149204</v>
          </cell>
          <cell r="J78">
            <v>1.1855389577537301</v>
          </cell>
          <cell r="K78">
            <v>1.14553895775373</v>
          </cell>
          <cell r="L78">
            <v>1.14553895775373</v>
          </cell>
          <cell r="M78">
            <v>1.1495389577537301</v>
          </cell>
        </row>
        <row r="79">
          <cell r="E79">
            <v>23.155526992287918</v>
          </cell>
          <cell r="F79">
            <v>20.655526992287918</v>
          </cell>
          <cell r="G79">
            <v>25.39552699228792</v>
          </cell>
          <cell r="H79">
            <v>25.155526992287918</v>
          </cell>
          <cell r="I79">
            <v>2.2740504805373671</v>
          </cell>
          <cell r="J79">
            <v>0.60601262013434198</v>
          </cell>
          <cell r="K79">
            <v>0.58601262013434197</v>
          </cell>
          <cell r="L79">
            <v>0.57601262013434196</v>
          </cell>
          <cell r="M79">
            <v>0.50601262013434201</v>
          </cell>
        </row>
        <row r="80">
          <cell r="E80">
            <v>16.399999999999999</v>
          </cell>
          <cell r="F80">
            <v>16.787563320473545</v>
          </cell>
          <cell r="G80">
            <v>19.815704786895267</v>
          </cell>
          <cell r="H80">
            <v>16.795704786895268</v>
          </cell>
          <cell r="I80">
            <v>2.1915791079085802</v>
          </cell>
          <cell r="J80">
            <v>0.56289477697714496</v>
          </cell>
          <cell r="K80">
            <v>0.55289477697714495</v>
          </cell>
          <cell r="L80">
            <v>0.54289477697714505</v>
          </cell>
          <cell r="M80">
            <v>0.53289477697714505</v>
          </cell>
        </row>
        <row r="81">
          <cell r="E81">
            <v>41.479300000000002</v>
          </cell>
          <cell r="F81">
            <v>13.377419384850574</v>
          </cell>
          <cell r="G81">
            <v>67.28715442014834</v>
          </cell>
          <cell r="H81">
            <v>42.48</v>
          </cell>
          <cell r="I81">
            <v>9.5174500000000002</v>
          </cell>
          <cell r="J81">
            <v>2.5559375000000002</v>
          </cell>
          <cell r="K81">
            <v>2.2449374999999998</v>
          </cell>
          <cell r="L81">
            <v>2.2692649999999999</v>
          </cell>
          <cell r="M81">
            <v>2.5663</v>
          </cell>
        </row>
      </sheetData>
      <sheetData sheetId="11">
        <row r="9">
          <cell r="I9">
            <v>56647.26</v>
          </cell>
        </row>
        <row r="10">
          <cell r="I10">
            <v>25295.26</v>
          </cell>
        </row>
        <row r="11">
          <cell r="I11">
            <v>35429.43</v>
          </cell>
        </row>
        <row r="12">
          <cell r="I12">
            <v>19427.150000000001</v>
          </cell>
        </row>
      </sheetData>
      <sheetData sheetId="12">
        <row r="8">
          <cell r="E8">
            <v>737516.28174700006</v>
          </cell>
          <cell r="F8">
            <v>880281.72343700018</v>
          </cell>
          <cell r="G8">
            <v>1033482.2333798228</v>
          </cell>
          <cell r="H8">
            <v>1136277.5791400415</v>
          </cell>
          <cell r="I8">
            <v>1411399.36</v>
          </cell>
          <cell r="J8">
            <v>1.3656735591711775</v>
          </cell>
        </row>
        <row r="9">
          <cell r="E9">
            <v>199768.76887886552</v>
          </cell>
          <cell r="F9">
            <v>232465.08981027859</v>
          </cell>
          <cell r="G9">
            <v>272271.39630295278</v>
          </cell>
          <cell r="H9">
            <v>283156.11452019715</v>
          </cell>
          <cell r="I9">
            <v>574311.90092790406</v>
          </cell>
          <cell r="J9">
            <v>2.1093361576949303</v>
          </cell>
        </row>
        <row r="10">
          <cell r="E10">
            <v>367300.41660235671</v>
          </cell>
          <cell r="F10">
            <v>444174.13398989756</v>
          </cell>
          <cell r="G10">
            <v>515150.45958774787</v>
          </cell>
          <cell r="H10">
            <v>585192.35853058705</v>
          </cell>
          <cell r="I10">
            <v>583205.54765669582</v>
          </cell>
          <cell r="J10">
            <v>1.1321072063556139</v>
          </cell>
        </row>
        <row r="12">
          <cell r="E12">
            <v>80465.348494970676</v>
          </cell>
          <cell r="F12">
            <v>95364.01190003645</v>
          </cell>
          <cell r="G12">
            <v>106872.36750433104</v>
          </cell>
          <cell r="H12">
            <v>129860.1447493256</v>
          </cell>
          <cell r="I12">
            <v>92422.153010337133</v>
          </cell>
          <cell r="J12">
            <v>0.86478998424538223</v>
          </cell>
        </row>
        <row r="13">
          <cell r="E13">
            <v>286835.068107386</v>
          </cell>
          <cell r="F13">
            <v>348810.12208986108</v>
          </cell>
          <cell r="G13">
            <v>408278.09208341682</v>
          </cell>
          <cell r="H13">
            <v>455332.21378126141</v>
          </cell>
          <cell r="I13">
            <v>490783.39464635868</v>
          </cell>
          <cell r="J13">
            <v>1.2020811406801737</v>
          </cell>
        </row>
        <row r="14">
          <cell r="E14">
            <v>170447.09626577786</v>
          </cell>
          <cell r="F14">
            <v>203642.49963682401</v>
          </cell>
          <cell r="G14">
            <v>246060.37748912224</v>
          </cell>
          <cell r="H14">
            <v>267929.1060892574</v>
          </cell>
          <cell r="I14">
            <v>253881.91141540019</v>
          </cell>
          <cell r="J14">
            <v>1.0317870516419236</v>
          </cell>
        </row>
        <row r="15">
          <cell r="E15">
            <v>95717.066315789474</v>
          </cell>
          <cell r="F15">
            <v>151211.50473684212</v>
          </cell>
          <cell r="G15">
            <v>135090.91736842104</v>
          </cell>
          <cell r="H15">
            <v>172738.95210526313</v>
          </cell>
          <cell r="I15">
            <v>319639.7763157895</v>
          </cell>
          <cell r="J15">
            <v>2.3661085626065099</v>
          </cell>
        </row>
        <row r="16">
          <cell r="E16">
            <v>58768.969523235384</v>
          </cell>
          <cell r="F16">
            <v>67759.244987372047</v>
          </cell>
          <cell r="G16">
            <v>91147.274171613797</v>
          </cell>
          <cell r="H16">
            <v>96897.758714873591</v>
          </cell>
          <cell r="I16">
            <v>287462.02528544009</v>
          </cell>
          <cell r="J16">
            <v>3.1538192216719634</v>
          </cell>
        </row>
        <row r="17">
          <cell r="E17">
            <v>28399.192695053865</v>
          </cell>
          <cell r="F17">
            <v>65506.708662754296</v>
          </cell>
          <cell r="G17">
            <v>34300.095068995935</v>
          </cell>
          <cell r="H17">
            <v>59713.051310701718</v>
          </cell>
          <cell r="I17">
            <v>21998.244459162252</v>
          </cell>
          <cell r="J17">
            <v>0.64134645734689522</v>
          </cell>
        </row>
        <row r="19">
          <cell r="E19">
            <v>3882.8975543942843</v>
          </cell>
          <cell r="F19">
            <v>8148.0667677032679</v>
          </cell>
          <cell r="G19">
            <v>2643.8573664904097</v>
          </cell>
          <cell r="H19">
            <v>5178.614901357445</v>
          </cell>
          <cell r="I19">
            <v>3058.3472083616457</v>
          </cell>
          <cell r="J19">
            <v>1.1567746608136622</v>
          </cell>
        </row>
        <row r="20">
          <cell r="E20">
            <v>24516.295140659582</v>
          </cell>
          <cell r="F20">
            <v>57358.641895051027</v>
          </cell>
          <cell r="G20">
            <v>31656.237702505525</v>
          </cell>
          <cell r="H20">
            <v>54534.436409344271</v>
          </cell>
          <cell r="I20">
            <v>18939.897250800605</v>
          </cell>
          <cell r="J20">
            <v>0.59829905969216146</v>
          </cell>
        </row>
        <row r="21">
          <cell r="E21">
            <v>8548.9040975002208</v>
          </cell>
          <cell r="F21">
            <v>17945.551086715775</v>
          </cell>
          <cell r="G21">
            <v>9643.5481278113293</v>
          </cell>
          <cell r="H21">
            <v>16128.142079687837</v>
          </cell>
          <cell r="I21">
            <v>10179.506571187147</v>
          </cell>
          <cell r="J21">
            <v>1.0555768930970697</v>
          </cell>
        </row>
        <row r="22">
          <cell r="E22">
            <v>12.978298741969274</v>
          </cell>
          <cell r="F22">
            <v>17.177626288371304</v>
          </cell>
          <cell r="G22">
            <v>13.071431032406803</v>
          </cell>
          <cell r="H22">
            <v>15.202179051706324</v>
          </cell>
          <cell r="I22">
            <v>22.647011567001808</v>
          </cell>
          <cell r="J22">
            <v>1.7325579357650394</v>
          </cell>
        </row>
        <row r="23">
          <cell r="E23">
            <v>833233.34806278953</v>
          </cell>
          <cell r="F23">
            <v>1031493.2281738423</v>
          </cell>
          <cell r="G23">
            <v>1168573.1507482438</v>
          </cell>
          <cell r="H23">
            <v>1309016.5312453047</v>
          </cell>
          <cell r="I23">
            <v>1731039.1363157895</v>
          </cell>
          <cell r="J23">
            <v>1.4813271511564301</v>
          </cell>
        </row>
        <row r="24">
          <cell r="E24">
            <v>258537.73840210092</v>
          </cell>
          <cell r="F24">
            <v>300224.33479765063</v>
          </cell>
          <cell r="G24">
            <v>363418.67047456658</v>
          </cell>
          <cell r="H24">
            <v>380053.87323507073</v>
          </cell>
          <cell r="I24">
            <v>861773.92621334409</v>
          </cell>
          <cell r="J24">
            <v>2.3712978892581535</v>
          </cell>
        </row>
        <row r="25">
          <cell r="E25">
            <v>395699.60929741058</v>
          </cell>
          <cell r="F25">
            <v>509680.84265265183</v>
          </cell>
          <cell r="G25">
            <v>549450.55465674377</v>
          </cell>
          <cell r="H25">
            <v>644905.40984128881</v>
          </cell>
          <cell r="I25">
            <v>605203.79211585806</v>
          </cell>
          <cell r="J25">
            <v>1.1014708912141236</v>
          </cell>
        </row>
        <row r="27">
          <cell r="E27">
            <v>84348.246049364956</v>
          </cell>
          <cell r="F27">
            <v>103512.07866773971</v>
          </cell>
          <cell r="G27">
            <v>109516.22487082145</v>
          </cell>
          <cell r="H27">
            <v>135038.75965068303</v>
          </cell>
          <cell r="I27">
            <v>95480.500218698784</v>
          </cell>
          <cell r="J27">
            <v>0.87183885612676726</v>
          </cell>
        </row>
        <row r="28">
          <cell r="E28">
            <v>311351.36324804556</v>
          </cell>
          <cell r="F28">
            <v>406168.76398491208</v>
          </cell>
          <cell r="G28">
            <v>439934.32978592237</v>
          </cell>
          <cell r="H28">
            <v>509866.65019060567</v>
          </cell>
          <cell r="I28">
            <v>509723.2918971593</v>
          </cell>
          <cell r="J28">
            <v>1.1586349538695857</v>
          </cell>
        </row>
        <row r="29">
          <cell r="E29">
            <v>178996.00036327809</v>
          </cell>
          <cell r="F29">
            <v>221588.05072353978</v>
          </cell>
          <cell r="G29">
            <v>255703.92561693356</v>
          </cell>
          <cell r="H29">
            <v>284057.24816894525</v>
          </cell>
          <cell r="I29">
            <v>264061.41798658733</v>
          </cell>
          <cell r="J29">
            <v>1.0326842552357762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1178.8340000000001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607.00589999999988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467.75589999999994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152.21199999999999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125587.55655958847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177934.0653319699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287048.20945752406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483683.1887997624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295.43051219827584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842.31534827045607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825.59296728847107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1338.4772881094352</v>
          </cell>
          <cell r="J47">
            <v>0</v>
          </cell>
        </row>
        <row r="49">
          <cell r="E49">
            <v>258537.73840210092</v>
          </cell>
          <cell r="F49">
            <v>300224.33479765063</v>
          </cell>
          <cell r="G49">
            <v>363418.67047456658</v>
          </cell>
          <cell r="H49">
            <v>380053.87323507073</v>
          </cell>
          <cell r="I49">
            <v>492240.57864037482</v>
          </cell>
          <cell r="J49">
            <v>1.3544724545868474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201847.32295102294</v>
          </cell>
          <cell r="J52">
            <v>0</v>
          </cell>
        </row>
        <row r="53">
          <cell r="E53">
            <v>258537.73840210092</v>
          </cell>
          <cell r="F53">
            <v>300224.33479765063</v>
          </cell>
          <cell r="G53">
            <v>363418.67047456658</v>
          </cell>
          <cell r="H53">
            <v>380053.87323507073</v>
          </cell>
          <cell r="I53">
            <v>290393.25568935188</v>
          </cell>
          <cell r="J53">
            <v>0.79905981525424874</v>
          </cell>
        </row>
        <row r="59">
          <cell r="E59">
            <v>84348.246049364956</v>
          </cell>
          <cell r="F59">
            <v>103512.07866773971</v>
          </cell>
          <cell r="G59">
            <v>109516.22487082145</v>
          </cell>
          <cell r="H59">
            <v>135038.75965068303</v>
          </cell>
          <cell r="I59">
            <v>277154.37057864433</v>
          </cell>
          <cell r="J59">
            <v>2.5307151602929929</v>
          </cell>
        </row>
        <row r="66">
          <cell r="E66">
            <v>654237.34769951145</v>
          </cell>
          <cell r="F66">
            <v>809905.17745030241</v>
          </cell>
          <cell r="G66">
            <v>912869.22513131041</v>
          </cell>
          <cell r="H66">
            <v>1024959.2830763594</v>
          </cell>
          <cell r="I66">
            <v>619407.20841648581</v>
          </cell>
          <cell r="J66">
            <v>0.67852786726092995</v>
          </cell>
        </row>
      </sheetData>
      <sheetData sheetId="13">
        <row r="8">
          <cell r="E8">
            <v>635.46</v>
          </cell>
          <cell r="F8">
            <v>608.92999999999995</v>
          </cell>
          <cell r="G8">
            <v>742.93</v>
          </cell>
          <cell r="H8">
            <v>742.93</v>
          </cell>
          <cell r="I8">
            <v>948.12099999999998</v>
          </cell>
        </row>
        <row r="9">
          <cell r="E9">
            <v>635.46</v>
          </cell>
          <cell r="F9">
            <v>608.92999999999995</v>
          </cell>
          <cell r="G9">
            <v>742.93</v>
          </cell>
          <cell r="H9">
            <v>742.93</v>
          </cell>
          <cell r="I9">
            <v>948.12099999999998</v>
          </cell>
        </row>
        <row r="10">
          <cell r="E10">
            <v>635.46</v>
          </cell>
          <cell r="F10">
            <v>608.92999999999995</v>
          </cell>
          <cell r="G10">
            <v>742.93</v>
          </cell>
          <cell r="I10">
            <v>948.12099999999998</v>
          </cell>
        </row>
      </sheetData>
      <sheetData sheetId="14"/>
      <sheetData sheetId="15"/>
      <sheetData sheetId="16">
        <row r="56">
          <cell r="F56">
            <v>192.42970902940382</v>
          </cell>
          <cell r="G56">
            <v>168.43</v>
          </cell>
          <cell r="H56">
            <v>1.1299999999999999</v>
          </cell>
        </row>
        <row r="57">
          <cell r="F57">
            <v>264.70036723340041</v>
          </cell>
          <cell r="G57">
            <v>168.43</v>
          </cell>
          <cell r="H57">
            <v>195</v>
          </cell>
        </row>
        <row r="63">
          <cell r="F63">
            <v>185.29025706338027</v>
          </cell>
          <cell r="G63">
            <v>118</v>
          </cell>
          <cell r="H63">
            <v>73.52</v>
          </cell>
        </row>
        <row r="68">
          <cell r="F68">
            <v>134.70079632058267</v>
          </cell>
          <cell r="G68">
            <v>118</v>
          </cell>
          <cell r="H68">
            <v>2.25</v>
          </cell>
        </row>
        <row r="69">
          <cell r="F69">
            <v>185.29025706338027</v>
          </cell>
          <cell r="G69">
            <v>118</v>
          </cell>
          <cell r="H69">
            <v>175.8</v>
          </cell>
        </row>
        <row r="74">
          <cell r="F74">
            <v>134.70079632058267</v>
          </cell>
          <cell r="G74">
            <v>118</v>
          </cell>
          <cell r="H74">
            <v>0.2</v>
          </cell>
        </row>
        <row r="75">
          <cell r="F75">
            <v>185.29025706338027</v>
          </cell>
          <cell r="G75">
            <v>118</v>
          </cell>
          <cell r="H75">
            <v>0.5</v>
          </cell>
        </row>
        <row r="80">
          <cell r="F80">
            <v>192.42970902940382</v>
          </cell>
          <cell r="G80">
            <v>168.43</v>
          </cell>
          <cell r="H80">
            <v>2.8</v>
          </cell>
        </row>
        <row r="81">
          <cell r="F81">
            <v>264.70036723340041</v>
          </cell>
          <cell r="G81">
            <v>168.43</v>
          </cell>
          <cell r="H81">
            <v>0.92</v>
          </cell>
        </row>
        <row r="84">
          <cell r="F84">
            <v>90.244837201484913</v>
          </cell>
          <cell r="G84">
            <v>118</v>
          </cell>
          <cell r="H84">
            <v>5.97</v>
          </cell>
        </row>
        <row r="85">
          <cell r="F85">
            <v>132.16187659364658</v>
          </cell>
          <cell r="G85">
            <v>118</v>
          </cell>
          <cell r="H85">
            <v>0.03</v>
          </cell>
        </row>
        <row r="86">
          <cell r="F86">
            <v>134.70079632058267</v>
          </cell>
          <cell r="G86">
            <v>118</v>
          </cell>
          <cell r="H86">
            <v>6.96</v>
          </cell>
        </row>
        <row r="87">
          <cell r="F87">
            <v>185.29025706338027</v>
          </cell>
          <cell r="G87">
            <v>118</v>
          </cell>
          <cell r="H87">
            <v>4.1500000000000004</v>
          </cell>
        </row>
      </sheetData>
      <sheetData sheetId="17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8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СписочнаяЧисленность"/>
      <sheetName val="эл ст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 Москва и 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Пермская область и Коми-Пермяцкий АО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 Санкт-Петербург и Ленинградская область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Таймырский (Долгано-Ненецкий) автономный округ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Усть-Ордынский Бурятский автономный округ</v>
          </cell>
        </row>
        <row r="80">
          <cell r="A80" t="str">
            <v>Хабаровский край</v>
          </cell>
        </row>
        <row r="81">
          <cell r="A81" t="str">
            <v>Ханты-Мансийский автономный округ</v>
          </cell>
        </row>
        <row r="82">
          <cell r="A82" t="str">
            <v>Челябинская область</v>
          </cell>
        </row>
        <row r="83">
          <cell r="A83" t="str">
            <v>Чеченская республика</v>
          </cell>
        </row>
        <row r="84">
          <cell r="A84" t="str">
            <v>Читинская область</v>
          </cell>
        </row>
        <row r="85">
          <cell r="A85" t="str">
            <v>Чувашская республика</v>
          </cell>
        </row>
        <row r="86">
          <cell r="A86" t="str">
            <v>Чукотский автономный округ</v>
          </cell>
        </row>
        <row r="87">
          <cell r="A87" t="str">
            <v>Ямало-Ненецкий автономный округ</v>
          </cell>
        </row>
        <row r="88">
          <cell r="A88" t="str">
            <v>Ярославская область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-таблица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влад_таблица"/>
      <sheetName val="Регионы"/>
      <sheetName val="Лист1"/>
    </sheetNames>
    <sheetDataSet>
      <sheetData sheetId="0" refreshError="1"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</sheetNames>
    <sheetDataSet>
      <sheetData sheetId="0" refreshError="1"/>
      <sheetData sheetId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Выберите регион из списка…</v>
          </cell>
        </row>
        <row r="2">
          <cell r="A2" t="str">
            <v>Алтайский край</v>
          </cell>
        </row>
        <row r="3">
          <cell r="A3" t="str">
            <v>Амурская область</v>
          </cell>
        </row>
        <row r="4">
          <cell r="A4" t="str">
            <v>Архангельская область</v>
          </cell>
        </row>
        <row r="5">
          <cell r="A5" t="str">
            <v>Астраханская область</v>
          </cell>
        </row>
        <row r="6">
          <cell r="A6" t="str">
            <v>г.Байконур</v>
          </cell>
        </row>
        <row r="7">
          <cell r="A7" t="str">
            <v>Белгородская область</v>
          </cell>
        </row>
        <row r="8">
          <cell r="A8" t="str">
            <v>Брянская область</v>
          </cell>
        </row>
        <row r="9">
          <cell r="A9" t="str">
            <v>Владимирская область</v>
          </cell>
        </row>
        <row r="10">
          <cell r="A10" t="str">
            <v>Волгоградская область</v>
          </cell>
        </row>
        <row r="11">
          <cell r="A11" t="str">
            <v>Вологодская область</v>
          </cell>
        </row>
        <row r="12">
          <cell r="A12" t="str">
            <v>Воронежская область</v>
          </cell>
        </row>
        <row r="13">
          <cell r="A13" t="str">
            <v>Еврейская автономная область</v>
          </cell>
        </row>
        <row r="14">
          <cell r="A14" t="str">
            <v>Ивановская область</v>
          </cell>
        </row>
        <row r="15">
          <cell r="A15" t="str">
            <v>Иркутская область</v>
          </cell>
        </row>
        <row r="16">
          <cell r="A16" t="str">
            <v>Кабардино-Балкарская республика</v>
          </cell>
        </row>
        <row r="17">
          <cell r="A17" t="str">
            <v>Калининградская область</v>
          </cell>
        </row>
        <row r="18">
          <cell r="A18" t="str">
            <v>Калужская область</v>
          </cell>
        </row>
        <row r="19">
          <cell r="A19" t="str">
            <v>Камчатский край</v>
          </cell>
        </row>
        <row r="20">
          <cell r="A20" t="str">
            <v>Карачаево-Черкесская республика</v>
          </cell>
        </row>
        <row r="21">
          <cell r="A21" t="str">
            <v>Кемеровская область</v>
          </cell>
        </row>
        <row r="22">
          <cell r="A22" t="str">
            <v>Кировская область</v>
          </cell>
        </row>
        <row r="23">
          <cell r="A23" t="str">
            <v>Корякский автономный округ</v>
          </cell>
        </row>
        <row r="24">
          <cell r="A24" t="str">
            <v>Костромская область</v>
          </cell>
        </row>
        <row r="25">
          <cell r="A25" t="str">
            <v>Краснодарский край</v>
          </cell>
        </row>
        <row r="26">
          <cell r="A26" t="str">
            <v>Красноярский край</v>
          </cell>
        </row>
        <row r="27">
          <cell r="A27" t="str">
            <v>Курганская область</v>
          </cell>
        </row>
        <row r="28">
          <cell r="A28" t="str">
            <v>Курская область</v>
          </cell>
        </row>
        <row r="29">
          <cell r="A29" t="str">
            <v>Ленинградская область</v>
          </cell>
        </row>
        <row r="30">
          <cell r="A30" t="str">
            <v>Липецкая область</v>
          </cell>
        </row>
        <row r="31">
          <cell r="A31" t="str">
            <v>Магаданская область</v>
          </cell>
        </row>
        <row r="32">
          <cell r="A32" t="str">
            <v>г. Москва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г.Санкт-Петербург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Тамбовская область</v>
          </cell>
        </row>
        <row r="72">
          <cell r="A72" t="str">
            <v>Тверская область</v>
          </cell>
        </row>
        <row r="73">
          <cell r="A73" t="str">
            <v>Томская область</v>
          </cell>
        </row>
        <row r="74">
          <cell r="A74" t="str">
            <v>Тульская область</v>
          </cell>
        </row>
        <row r="75">
          <cell r="A75" t="str">
            <v>Тюменская область</v>
          </cell>
        </row>
        <row r="76">
          <cell r="A76" t="str">
            <v>Удмуртская республика</v>
          </cell>
        </row>
        <row r="77">
          <cell r="A77" t="str">
            <v>Ульяновская область</v>
          </cell>
        </row>
        <row r="78">
          <cell r="A78" t="str">
            <v>Усть-Ордынский Бурятский автономный округ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Забайкальский край</v>
          </cell>
        </row>
        <row r="84">
          <cell r="A84" t="str">
            <v>Чувашская республика</v>
          </cell>
        </row>
        <row r="85">
          <cell r="A85" t="str">
            <v>Чукотский автономный округ</v>
          </cell>
        </row>
        <row r="86">
          <cell r="A86" t="str">
            <v>Ямало-Ненецкий автономный округ</v>
          </cell>
        </row>
        <row r="87">
          <cell r="A87" t="str">
            <v>Ярославская область</v>
          </cell>
        </row>
        <row r="94">
          <cell r="H94" t="str">
            <v>Да</v>
          </cell>
        </row>
        <row r="95">
          <cell r="H95" t="str">
            <v>Нет</v>
          </cell>
        </row>
      </sheetData>
      <sheetData sheetId="20"/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s here"/>
      <sheetName val="Time zones"/>
      <sheetName val="Population"/>
      <sheetName val="Salaries"/>
    </sheetNames>
    <sheetDataSet>
      <sheetData sheetId="0">
        <row r="2">
          <cell r="A2" t="str">
            <v>Владивосток</v>
          </cell>
        </row>
        <row r="3">
          <cell r="A3" t="str">
            <v>Хабаровск</v>
          </cell>
        </row>
        <row r="4">
          <cell r="A4" t="str">
            <v>Иркутск</v>
          </cell>
        </row>
        <row r="5">
          <cell r="A5" t="str">
            <v>Красноярск</v>
          </cell>
        </row>
        <row r="6">
          <cell r="A6" t="str">
            <v>Новокузнецк</v>
          </cell>
        </row>
        <row r="7">
          <cell r="A7" t="str">
            <v>Кемерово</v>
          </cell>
        </row>
        <row r="8">
          <cell r="A8" t="str">
            <v>Барнаул</v>
          </cell>
        </row>
        <row r="9">
          <cell r="A9" t="str">
            <v>Томск</v>
          </cell>
        </row>
        <row r="10">
          <cell r="A10" t="str">
            <v>Новосибирск</v>
          </cell>
        </row>
        <row r="11">
          <cell r="A11" t="str">
            <v>Омск</v>
          </cell>
        </row>
        <row r="12">
          <cell r="A12" t="str">
            <v>Тюмень</v>
          </cell>
        </row>
        <row r="13">
          <cell r="A13" t="str">
            <v>Махачкала</v>
          </cell>
        </row>
        <row r="14">
          <cell r="A14" t="str">
            <v>Челябинск</v>
          </cell>
        </row>
        <row r="15">
          <cell r="A15" t="str">
            <v>Екатеринбург</v>
          </cell>
        </row>
        <row r="16">
          <cell r="A16" t="str">
            <v>Астрахань</v>
          </cell>
        </row>
        <row r="17">
          <cell r="A17" t="str">
            <v>Оренбург</v>
          </cell>
        </row>
        <row r="18">
          <cell r="A18" t="str">
            <v>Краснодар</v>
          </cell>
        </row>
        <row r="19">
          <cell r="A19" t="str">
            <v>Уфа</v>
          </cell>
        </row>
        <row r="20">
          <cell r="A20" t="str">
            <v>Пермь</v>
          </cell>
        </row>
        <row r="21">
          <cell r="A21" t="str">
            <v>Ижевск</v>
          </cell>
        </row>
        <row r="22">
          <cell r="A22" t="str">
            <v>Ростов-на-Дону</v>
          </cell>
        </row>
        <row r="23">
          <cell r="A23" t="str">
            <v>Набережные Челны</v>
          </cell>
        </row>
        <row r="24">
          <cell r="A24" t="str">
            <v>Волгоград</v>
          </cell>
        </row>
        <row r="25">
          <cell r="A25" t="str">
            <v>Самара</v>
          </cell>
        </row>
        <row r="26">
          <cell r="A26" t="str">
            <v>Тольятти</v>
          </cell>
        </row>
        <row r="27">
          <cell r="A27" t="str">
            <v>Казань</v>
          </cell>
        </row>
        <row r="28">
          <cell r="A28" t="str">
            <v>Саратов</v>
          </cell>
        </row>
        <row r="29">
          <cell r="A29" t="str">
            <v>Ульяновск</v>
          </cell>
        </row>
        <row r="30">
          <cell r="A30" t="str">
            <v>Санкт-Петербург</v>
          </cell>
        </row>
        <row r="31">
          <cell r="A31" t="str">
            <v>Пенза</v>
          </cell>
        </row>
        <row r="32">
          <cell r="A32" t="str">
            <v>Воронеж</v>
          </cell>
        </row>
        <row r="33">
          <cell r="A33" t="str">
            <v>Нижний Новгород</v>
          </cell>
        </row>
        <row r="34">
          <cell r="A34" t="str">
            <v>Липецк</v>
          </cell>
        </row>
        <row r="35">
          <cell r="A35" t="str">
            <v>Ярославль</v>
          </cell>
        </row>
        <row r="36">
          <cell r="A36" t="str">
            <v>Рязань</v>
          </cell>
        </row>
        <row r="37">
          <cell r="A37" t="str">
            <v>Тула</v>
          </cell>
        </row>
        <row r="38">
          <cell r="A38" t="str">
            <v>Москва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мета "/>
      <sheetName val="свод"/>
      <sheetName val="свод2"/>
      <sheetName val="2.3"/>
    </sheetNames>
    <sheetDataSet>
      <sheetData sheetId="0" refreshError="1">
        <row r="19">
          <cell r="B19" t="str">
            <v>Республика Мордовия</v>
          </cell>
        </row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ource"/>
      <sheetName val="Ведомость1"/>
      <sheetName val="Ведомость2"/>
      <sheetName val="заполнение"/>
    </sheetNames>
    <sheetDataSet>
      <sheetData sheetId="0" refreshError="1"/>
      <sheetData sheetId="1" refreshError="1">
        <row r="1">
          <cell r="B1">
            <v>10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mapping"/>
      <sheetName val="Pivot"/>
      <sheetName val="Sheet2"/>
      <sheetName val="Штатное расписание"/>
      <sheetName val="ФОТ по подразд"/>
      <sheetName val="Карта процессов"/>
      <sheetName val="Department list"/>
      <sheetName val="dep1 standartization"/>
      <sheetName val="Результат"/>
      <sheetName val="КЦ_регр"/>
      <sheetName val="ФОТ_регр"/>
      <sheetName val="Целевые_затраты"/>
      <sheetName val="Частота"/>
      <sheetName val="Регрессия_штат"/>
      <sheetName val="Драйвера"/>
      <sheetName val="Драйвера_новый"/>
      <sheetName val="(для графика)"/>
      <sheetName val="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O2" t="str">
            <v>Аутлаеры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расходов RAB"/>
      <sheetName val="расчет НВВ РСК по RAB"/>
      <sheetName val="Лист1"/>
      <sheetName val="Расчет НВВ общий"/>
      <sheetName val="Расчет котловых тарифов"/>
      <sheetName val="перекрестка"/>
      <sheetName val="услуга прочие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>
        <row r="13">
          <cell r="F13">
            <v>0</v>
          </cell>
        </row>
        <row r="14">
          <cell r="F14">
            <v>17.59</v>
          </cell>
        </row>
        <row r="15">
          <cell r="F15">
            <v>0</v>
          </cell>
        </row>
        <row r="16">
          <cell r="F16">
            <v>988.66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45.39</v>
          </cell>
        </row>
        <row r="21">
          <cell r="F21">
            <v>0</v>
          </cell>
        </row>
        <row r="22">
          <cell r="F22">
            <v>11.98</v>
          </cell>
        </row>
        <row r="23">
          <cell r="F23">
            <v>0</v>
          </cell>
        </row>
        <row r="24">
          <cell r="F24">
            <v>32.549999999999997</v>
          </cell>
        </row>
        <row r="25">
          <cell r="F25">
            <v>35.19</v>
          </cell>
        </row>
        <row r="26">
          <cell r="F26">
            <v>21.99</v>
          </cell>
        </row>
        <row r="27">
          <cell r="F27">
            <v>1153.3500000000001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1153.3500000000001</v>
          </cell>
        </row>
        <row r="31">
          <cell r="F31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1153.3500000000001</v>
          </cell>
        </row>
        <row r="49">
          <cell r="F49">
            <v>0.94299999999999995</v>
          </cell>
        </row>
        <row r="51">
          <cell r="F51">
            <v>12</v>
          </cell>
        </row>
      </sheetData>
      <sheetData sheetId="13" refreshError="1"/>
      <sheetData sheetId="14">
        <row r="5">
          <cell r="E5" t="str">
            <v>L9</v>
          </cell>
          <cell r="K5">
            <v>988.66</v>
          </cell>
        </row>
        <row r="6">
          <cell r="D6">
            <v>1153.3499999999999</v>
          </cell>
          <cell r="E6" t="str">
            <v>L10</v>
          </cell>
          <cell r="K6">
            <v>0</v>
          </cell>
        </row>
        <row r="7">
          <cell r="D7">
            <v>0.94299999999999995</v>
          </cell>
          <cell r="E7" t="str">
            <v>L10.1</v>
          </cell>
          <cell r="K7">
            <v>0.94299999999999995</v>
          </cell>
        </row>
        <row r="8">
          <cell r="D8">
            <v>122.30646871686108</v>
          </cell>
          <cell r="E8" t="str">
            <v>L10.2</v>
          </cell>
          <cell r="K8">
            <v>122.31</v>
          </cell>
        </row>
        <row r="9">
          <cell r="D9">
            <v>8612.6270000000004</v>
          </cell>
          <cell r="E9" t="str">
            <v>L11</v>
          </cell>
          <cell r="G9">
            <v>262.68700000000001</v>
          </cell>
          <cell r="H9">
            <v>8349.94</v>
          </cell>
          <cell r="I9">
            <v>0</v>
          </cell>
          <cell r="J9">
            <v>0</v>
          </cell>
          <cell r="K9">
            <v>0</v>
          </cell>
        </row>
        <row r="10">
          <cell r="D10">
            <v>223973.80099999998</v>
          </cell>
          <cell r="E10" t="str">
            <v>L12</v>
          </cell>
          <cell r="G10">
            <v>91101.819999999992</v>
          </cell>
          <cell r="H10">
            <v>132871.98099999997</v>
          </cell>
          <cell r="I10">
            <v>0</v>
          </cell>
          <cell r="J10">
            <v>0</v>
          </cell>
          <cell r="K10">
            <v>45.39</v>
          </cell>
        </row>
        <row r="11">
          <cell r="D11">
            <v>0</v>
          </cell>
          <cell r="E11" t="str">
            <v>L12_1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D12">
            <v>70664.513999999996</v>
          </cell>
          <cell r="E12" t="str">
            <v>L13</v>
          </cell>
          <cell r="G12">
            <v>27639.909999999996</v>
          </cell>
          <cell r="H12">
            <v>43024.604000000007</v>
          </cell>
          <cell r="I12">
            <v>0</v>
          </cell>
          <cell r="J12">
            <v>0</v>
          </cell>
          <cell r="K12">
            <v>11.98</v>
          </cell>
        </row>
        <row r="13">
          <cell r="D13">
            <v>0</v>
          </cell>
          <cell r="E13" t="str">
            <v>L13_1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45804.700000000012</v>
          </cell>
          <cell r="E14" t="str">
            <v>L14</v>
          </cell>
          <cell r="G14">
            <v>6971.36</v>
          </cell>
          <cell r="H14">
            <v>38833.340000000011</v>
          </cell>
          <cell r="I14">
            <v>0</v>
          </cell>
          <cell r="J14">
            <v>0</v>
          </cell>
          <cell r="K14">
            <v>32.549999999999997</v>
          </cell>
        </row>
        <row r="15">
          <cell r="D15">
            <v>17510.789999999997</v>
          </cell>
          <cell r="E15" t="str">
            <v>L15</v>
          </cell>
          <cell r="G15">
            <v>0</v>
          </cell>
          <cell r="H15">
            <v>17510.789999999997</v>
          </cell>
          <cell r="I15">
            <v>0</v>
          </cell>
          <cell r="J15">
            <v>0</v>
          </cell>
          <cell r="K15">
            <v>35.19</v>
          </cell>
        </row>
        <row r="16">
          <cell r="D16">
            <v>249712.3</v>
          </cell>
          <cell r="E16" t="str">
            <v>L16</v>
          </cell>
          <cell r="G16">
            <v>89798.449999999983</v>
          </cell>
          <cell r="H16">
            <v>159913.85</v>
          </cell>
          <cell r="I16">
            <v>0</v>
          </cell>
          <cell r="J16">
            <v>0</v>
          </cell>
          <cell r="K16">
            <v>39.58</v>
          </cell>
        </row>
        <row r="17">
          <cell r="D17">
            <v>91281.829999999987</v>
          </cell>
          <cell r="E17" t="str">
            <v>L17</v>
          </cell>
          <cell r="G17">
            <v>1284.7</v>
          </cell>
          <cell r="H17">
            <v>89997.12999999999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531.07000000000005</v>
          </cell>
          <cell r="E18" t="str">
            <v>L18</v>
          </cell>
          <cell r="G18">
            <v>0</v>
          </cell>
          <cell r="H18">
            <v>531.07000000000005</v>
          </cell>
          <cell r="I18">
            <v>0</v>
          </cell>
          <cell r="J18">
            <v>0</v>
          </cell>
          <cell r="K18">
            <v>0</v>
          </cell>
        </row>
        <row r="19">
          <cell r="D19">
            <v>22864.873099999997</v>
          </cell>
          <cell r="E19" t="str">
            <v>L19</v>
          </cell>
          <cell r="G19">
            <v>10598.867099999998</v>
          </cell>
          <cell r="H19">
            <v>12266.005999999999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 t="str">
            <v>L20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D22">
            <v>0</v>
          </cell>
          <cell r="E22" t="str">
            <v>L20.1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D23">
            <v>16736.994899999998</v>
          </cell>
          <cell r="E23" t="str">
            <v>L21</v>
          </cell>
          <cell r="G23">
            <v>9641.3070999999982</v>
          </cell>
          <cell r="H23">
            <v>7095.6877999999988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6127.878200000001</v>
          </cell>
          <cell r="E24" t="str">
            <v>L22</v>
          </cell>
          <cell r="G24">
            <v>957.56000000000006</v>
          </cell>
          <cell r="H24">
            <v>5170.3182000000006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731047.71510000003</v>
          </cell>
          <cell r="E25" t="str">
            <v>L23</v>
          </cell>
          <cell r="F25">
            <v>0</v>
          </cell>
          <cell r="G25">
            <v>227657.79409999997</v>
          </cell>
          <cell r="H25">
            <v>502236.57099999994</v>
          </cell>
          <cell r="I25">
            <v>0</v>
          </cell>
          <cell r="J25">
            <v>0</v>
          </cell>
          <cell r="K25">
            <v>1153.3499999999999</v>
          </cell>
        </row>
        <row r="27">
          <cell r="D27">
            <v>393211.9</v>
          </cell>
          <cell r="E27" t="str">
            <v>L24</v>
          </cell>
          <cell r="H27">
            <v>393211.9</v>
          </cell>
          <cell r="I27">
            <v>393211.9</v>
          </cell>
        </row>
        <row r="28">
          <cell r="D28">
            <v>591492</v>
          </cell>
          <cell r="E28" t="str">
            <v>L25</v>
          </cell>
          <cell r="H28">
            <v>591492</v>
          </cell>
          <cell r="I28">
            <v>591492</v>
          </cell>
        </row>
        <row r="30">
          <cell r="D30">
            <v>385685.713215</v>
          </cell>
          <cell r="E30" t="str">
            <v>L25.1</v>
          </cell>
          <cell r="H30">
            <v>385685.713215</v>
          </cell>
          <cell r="I30">
            <v>385685.713215</v>
          </cell>
        </row>
      </sheetData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спетчеризация"/>
      <sheetName val="Договора"/>
      <sheetName val="Работа с ДЗ"/>
      <sheetName val="Юристы"/>
      <sheetName val="HR"/>
      <sheetName val="Бухучет"/>
      <sheetName val="Экономика"/>
      <sheetName val="Финансы"/>
      <sheetName val="Автотранспорт"/>
      <sheetName val="Делопроизводство"/>
      <sheetName val="АХО и МТО"/>
      <sheetName val="ИТ"/>
      <sheetName val="Безопасность"/>
      <sheetName val="Sheet7"/>
      <sheetName val="Dashboard"/>
      <sheetName val="Purification"/>
      <sheetName val="Sheet5"/>
      <sheetName val="Central-decentral"/>
      <sheetName val="Распред подразд по МП"/>
      <sheetName val="HR mapping"/>
      <sheetName val="Pivot"/>
      <sheetName val="Sheet2"/>
      <sheetName val="Штатное расписание"/>
      <sheetName val="ФОТ по подразд"/>
      <sheetName val="Карта процессов"/>
      <sheetName val="Department list"/>
      <sheetName val="dep1 standartization"/>
      <sheetName val="Overall (draft)"/>
      <sheetName val="Драйвера"/>
      <sheetName val="Tech"/>
      <sheetName val="Headcount comparison"/>
      <sheetName val="Process distribution v20 GS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N2" t="str">
            <v>Аутлаеры</v>
          </cell>
        </row>
      </sheetData>
      <sheetData sheetId="15"/>
      <sheetData sheetId="16"/>
      <sheetData sheetId="17"/>
      <sheetData sheetId="18">
        <row r="2">
          <cell r="AJ2" t="str">
            <v>?</v>
          </cell>
        </row>
        <row r="3">
          <cell r="AJ3" t="str">
            <v>Автотранспорт</v>
          </cell>
        </row>
        <row r="4">
          <cell r="AJ4" t="str">
            <v>Акционерная деятельность, работа с ценными бумагами</v>
          </cell>
        </row>
        <row r="5">
          <cell r="AJ5" t="str">
            <v>Анализ дебиторской задолженности</v>
          </cell>
        </row>
        <row r="6">
          <cell r="AJ6" t="str">
            <v>Ахо и МТО</v>
          </cell>
        </row>
        <row r="7">
          <cell r="AJ7" t="str">
            <v>Бухгалтерский учет и отчетность</v>
          </cell>
        </row>
        <row r="8">
          <cell r="AJ8" t="str">
            <v>Внутренний аудит</v>
          </cell>
        </row>
        <row r="9">
          <cell r="AJ9" t="str">
            <v>Высшее руководство</v>
          </cell>
        </row>
        <row r="10">
          <cell r="AJ10" t="str">
            <v>Делопроизводство</v>
          </cell>
        </row>
        <row r="11">
          <cell r="AJ11" t="str">
            <v>Договорная работа</v>
          </cell>
        </row>
        <row r="12">
          <cell r="AJ12" t="str">
            <v>Договорная работа и претензионно-исковая работа</v>
          </cell>
        </row>
        <row r="13">
          <cell r="AJ13" t="str">
            <v>Доставка</v>
          </cell>
        </row>
        <row r="14">
          <cell r="AJ14" t="str">
            <v>Ит-сопровождение</v>
          </cell>
        </row>
        <row r="15">
          <cell r="AJ15" t="str">
            <v>Контакт- центр</v>
          </cell>
        </row>
        <row r="16">
          <cell r="AJ16" t="str">
            <v>Контроль сервиса</v>
          </cell>
        </row>
        <row r="17">
          <cell r="AJ17" t="str">
            <v>Координация отделений</v>
          </cell>
        </row>
        <row r="18">
          <cell r="AJ18" t="str">
            <v>Маркетинг</v>
          </cell>
        </row>
        <row r="19">
          <cell r="AJ19" t="str">
            <v>межрайонное управление</v>
          </cell>
        </row>
        <row r="20">
          <cell r="AJ20" t="str">
            <v>Метрология</v>
          </cell>
        </row>
        <row r="21">
          <cell r="AJ21" t="str">
            <v>Обеспечение безопасности энергосбытовой деятельности</v>
          </cell>
        </row>
        <row r="22">
          <cell r="AJ22" t="str">
            <v>Ограничения и подключения</v>
          </cell>
        </row>
        <row r="23">
          <cell r="AJ23" t="str">
            <v>Поддержка</v>
          </cell>
        </row>
        <row r="24">
          <cell r="AJ24" t="str">
            <v>Правовое обеспечение</v>
          </cell>
        </row>
        <row r="25">
          <cell r="AJ25" t="str">
            <v>Правовое обеспечение (включая правовое обеспечение договоров)</v>
          </cell>
        </row>
        <row r="26">
          <cell r="AJ26" t="str">
            <v>Прочее</v>
          </cell>
        </row>
        <row r="27">
          <cell r="AJ27" t="str">
            <v xml:space="preserve">прочее </v>
          </cell>
        </row>
        <row r="28">
          <cell r="AJ28" t="str">
            <v>Прочее (?)</v>
          </cell>
        </row>
        <row r="29">
          <cell r="AJ29" t="str">
            <v>Прочее (автоматизация)</v>
          </cell>
        </row>
        <row r="30">
          <cell r="AJ30" t="str">
            <v>Прочее (АСКУЭ)</v>
          </cell>
        </row>
        <row r="31">
          <cell r="AJ31" t="str">
            <v>Прочее (доп. услуги)</v>
          </cell>
        </row>
        <row r="32">
          <cell r="AJ32" t="str">
            <v>Прочее (здравпункт)</v>
          </cell>
        </row>
        <row r="33">
          <cell r="AJ33" t="str">
            <v>Прочее (инженер)</v>
          </cell>
        </row>
        <row r="34">
          <cell r="AJ34" t="str">
            <v>Прочее (контроль продаж)</v>
          </cell>
        </row>
        <row r="35">
          <cell r="AJ35" t="str">
            <v>Прочее (неразбито)</v>
          </cell>
        </row>
        <row r="36">
          <cell r="AJ36" t="str">
            <v>Прочее (нет на орге)</v>
          </cell>
        </row>
        <row r="37">
          <cell r="AJ37" t="str">
            <v>Прочее (ограничения и энергоинспекция)</v>
          </cell>
        </row>
        <row r="38">
          <cell r="AJ38" t="str">
            <v>Прочее (печать)</v>
          </cell>
        </row>
        <row r="39">
          <cell r="AJ39" t="str">
            <v>Прочее (приборы учета)</v>
          </cell>
        </row>
        <row r="40">
          <cell r="AJ40" t="str">
            <v>Прочее (производственно-техническое обеспечение)</v>
          </cell>
        </row>
        <row r="41">
          <cell r="AJ41" t="str">
            <v>Прочее (производственно-техническое)</v>
          </cell>
        </row>
        <row r="42">
          <cell r="AJ42" t="str">
            <v>Прочее (пром. База)</v>
          </cell>
        </row>
        <row r="43">
          <cell r="AJ43" t="str">
            <v>Прочее (ПТО)</v>
          </cell>
        </row>
        <row r="44">
          <cell r="AJ44" t="str">
            <v>Прочее (развитие рынка)</v>
          </cell>
        </row>
        <row r="45">
          <cell r="AJ45" t="str">
            <v>Прочее (развитие)</v>
          </cell>
        </row>
        <row r="46">
          <cell r="AJ46" t="str">
            <v>Прочее (сбыт)</v>
          </cell>
        </row>
        <row r="47">
          <cell r="AJ47" t="str">
            <v>Прочее (сервис)</v>
          </cell>
        </row>
        <row r="48">
          <cell r="AJ48" t="str">
            <v>Прочее (столовая)</v>
          </cell>
        </row>
        <row r="49">
          <cell r="AJ49" t="str">
            <v>Прочее (тепло)</v>
          </cell>
        </row>
        <row r="50">
          <cell r="AJ50" t="str">
            <v>Прочее (уборщики)</v>
          </cell>
        </row>
        <row r="51">
          <cell r="AJ51" t="str">
            <v>Прочее (управление проектами)</v>
          </cell>
        </row>
        <row r="52">
          <cell r="AJ52" t="str">
            <v>Прочее (услуги)</v>
          </cell>
        </row>
        <row r="53">
          <cell r="AJ53" t="str">
            <v>Прочее (функции непонятны)</v>
          </cell>
        </row>
        <row r="54">
          <cell r="AJ54" t="str">
            <v>Прочее (электротехнический отдел)</v>
          </cell>
        </row>
        <row r="55">
          <cell r="AJ55" t="str">
            <v>Прочее (энергоинспекция)</v>
          </cell>
        </row>
        <row r="56">
          <cell r="AJ56" t="str">
            <v>Прочее (энергоэффективность ?)</v>
          </cell>
        </row>
        <row r="57">
          <cell r="AJ57" t="str">
            <v>Прочее (энергоэффективность)</v>
          </cell>
        </row>
        <row r="58">
          <cell r="AJ58" t="str">
            <v>Прочее руководство (филиал)</v>
          </cell>
        </row>
        <row r="59">
          <cell r="AJ59" t="str">
            <v>Прочие (доп. услуги)</v>
          </cell>
        </row>
        <row r="60">
          <cell r="AJ60" t="str">
            <v>Работа на ОРЭ</v>
          </cell>
        </row>
        <row r="61">
          <cell r="AJ61" t="str">
            <v>Работа с задолженностью</v>
          </cell>
        </row>
        <row r="62">
          <cell r="AJ62" t="str">
            <v>Работа с клиентами (координация)</v>
          </cell>
        </row>
        <row r="63">
          <cell r="AJ63" t="str">
            <v>Работа с общественными организациями, органами власти, СМИ</v>
          </cell>
        </row>
        <row r="64">
          <cell r="AJ64" t="str">
            <v>Расчеты</v>
          </cell>
        </row>
        <row r="65">
          <cell r="AJ65" t="str">
            <v>Расчеты (мобильная бригада)</v>
          </cell>
        </row>
        <row r="66">
          <cell r="AJ66" t="str">
            <v>Расчеты (население)</v>
          </cell>
        </row>
        <row r="67">
          <cell r="AJ67" t="str">
            <v>Расчеты (планирование)</v>
          </cell>
        </row>
        <row r="68">
          <cell r="AJ68" t="str">
            <v>Расчеты (сети)</v>
          </cell>
        </row>
        <row r="69">
          <cell r="AJ69" t="str">
            <v>расчеты (юл)</v>
          </cell>
        </row>
        <row r="70">
          <cell r="AJ70" t="str">
            <v>Расчеты (юл, сети)</v>
          </cell>
        </row>
        <row r="71">
          <cell r="AJ71" t="str">
            <v>Рачеты  (крупные юл)</v>
          </cell>
        </row>
        <row r="72">
          <cell r="AJ72" t="str">
            <v>Руководство</v>
          </cell>
        </row>
        <row r="73">
          <cell r="AJ73" t="str">
            <v>Управление персоналом</v>
          </cell>
        </row>
        <row r="74">
          <cell r="AJ74" t="str">
            <v>Участок</v>
          </cell>
        </row>
        <row r="75">
          <cell r="AJ75" t="str">
            <v>Филиал</v>
          </cell>
        </row>
        <row r="76">
          <cell r="AJ76" t="str">
            <v>Финансы</v>
          </cell>
        </row>
        <row r="77">
          <cell r="AJ77" t="str">
            <v>Экономика и планирование</v>
          </cell>
        </row>
        <row r="78">
          <cell r="AJ78" t="e">
            <v>#N/A</v>
          </cell>
        </row>
        <row r="79">
          <cell r="AJ79" t="e">
            <v>#N/A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PwC Print">
  <a:themeElements>
    <a:clrScheme name="PwC Maroon">
      <a:dk1>
        <a:srgbClr val="000000"/>
      </a:dk1>
      <a:lt1>
        <a:srgbClr val="FFFFFF"/>
      </a:lt1>
      <a:dk2>
        <a:srgbClr val="602320"/>
      </a:dk2>
      <a:lt2>
        <a:srgbClr val="FFFFFF"/>
      </a:lt2>
      <a:accent1>
        <a:srgbClr val="602320"/>
      </a:accent1>
      <a:accent2>
        <a:srgbClr val="DB536A"/>
      </a:accent2>
      <a:accent3>
        <a:srgbClr val="A32020"/>
      </a:accent3>
      <a:accent4>
        <a:srgbClr val="E0301E"/>
      </a:accent4>
      <a:accent5>
        <a:srgbClr val="DC6900"/>
      </a:accent5>
      <a:accent6>
        <a:srgbClr val="FFB600"/>
      </a:accent6>
      <a:hlink>
        <a:srgbClr val="602320"/>
      </a:hlink>
      <a:folHlink>
        <a:srgbClr val="602320"/>
      </a:folHlink>
    </a:clrScheme>
    <a:fontScheme name="Pw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="70" zoomScaleNormal="70" workbookViewId="0">
      <selection activeCell="G40" sqref="G40"/>
    </sheetView>
  </sheetViews>
  <sheetFormatPr defaultRowHeight="13.2"/>
  <cols>
    <col min="1" max="1" width="21.88671875" customWidth="1"/>
    <col min="2" max="2" width="16.6640625" bestFit="1" customWidth="1"/>
    <col min="3" max="3" width="16.109375" customWidth="1"/>
    <col min="4" max="4" width="14.88671875" customWidth="1"/>
    <col min="5" max="6" width="17.109375" customWidth="1"/>
    <col min="7" max="7" width="14.5546875" customWidth="1"/>
    <col min="8" max="8" width="14.6640625" customWidth="1"/>
    <col min="9" max="10" width="16.33203125" customWidth="1"/>
    <col min="11" max="11" width="15.6640625" customWidth="1"/>
    <col min="12" max="12" width="21.33203125" customWidth="1"/>
    <col min="13" max="13" width="17.109375" customWidth="1"/>
    <col min="14" max="15" width="17.33203125" customWidth="1"/>
    <col min="17" max="17" width="17.109375" customWidth="1"/>
  </cols>
  <sheetData>
    <row r="1" spans="1:17" s="33" customFormat="1">
      <c r="A1" s="40" t="s">
        <v>131</v>
      </c>
      <c r="B1" s="41" t="s">
        <v>139</v>
      </c>
      <c r="C1" s="41" t="s">
        <v>140</v>
      </c>
      <c r="D1" s="41" t="s">
        <v>144</v>
      </c>
      <c r="E1" s="41" t="s">
        <v>145</v>
      </c>
      <c r="F1" s="41" t="s">
        <v>146</v>
      </c>
      <c r="G1" s="41" t="s">
        <v>183</v>
      </c>
      <c r="H1" s="41" t="s">
        <v>147</v>
      </c>
      <c r="I1" s="41" t="s">
        <v>148</v>
      </c>
      <c r="J1" s="41" t="s">
        <v>152</v>
      </c>
      <c r="K1" s="41" t="s">
        <v>153</v>
      </c>
      <c r="L1" s="41" t="s">
        <v>151</v>
      </c>
      <c r="M1" s="41" t="s">
        <v>150</v>
      </c>
      <c r="N1" s="41" t="s">
        <v>180</v>
      </c>
      <c r="O1" s="41" t="s">
        <v>181</v>
      </c>
      <c r="P1" s="35"/>
      <c r="Q1" s="41" t="s">
        <v>182</v>
      </c>
    </row>
    <row r="2" spans="1:17" s="33" customFormat="1">
      <c r="A2" s="40" t="s">
        <v>132</v>
      </c>
      <c r="B2" s="40">
        <f>B3+B4+B5+B6</f>
        <v>17501</v>
      </c>
      <c r="C2" s="40"/>
      <c r="D2" s="40"/>
      <c r="E2" s="40"/>
      <c r="F2" s="40"/>
      <c r="G2" s="40"/>
      <c r="H2" s="40"/>
      <c r="I2" s="42">
        <f>SUM(I3:I6)</f>
        <v>205800000</v>
      </c>
      <c r="J2" s="42">
        <f>SUM(J3:J6)</f>
        <v>27448821.6765</v>
      </c>
      <c r="K2" s="42">
        <f>SUM(K3:K6)</f>
        <v>4533134.5789116314</v>
      </c>
      <c r="L2" s="40"/>
      <c r="M2" s="84">
        <f>SUM(M3:M6)</f>
        <v>37102037.419271037</v>
      </c>
      <c r="N2" s="84">
        <f>SUM(N3:N6)</f>
        <v>18551018.709635518</v>
      </c>
      <c r="O2" s="84">
        <f>SUM(O3:O6)</f>
        <v>11094340.699656747</v>
      </c>
      <c r="Q2" s="84">
        <f>SUM(Q3:Q6)</f>
        <v>24098189.059463888</v>
      </c>
    </row>
    <row r="3" spans="1:17" s="34" customFormat="1">
      <c r="A3" s="43" t="s">
        <v>141</v>
      </c>
      <c r="B3" s="43">
        <v>12655</v>
      </c>
      <c r="C3" s="43">
        <v>0.89</v>
      </c>
      <c r="D3" s="43">
        <v>270</v>
      </c>
      <c r="E3" s="43">
        <v>2.82</v>
      </c>
      <c r="F3" s="43">
        <v>13.8</v>
      </c>
      <c r="G3" s="43">
        <v>105</v>
      </c>
      <c r="H3" s="53">
        <f>2.8/1.18</f>
        <v>2.3728813559322033</v>
      </c>
      <c r="I3" s="44">
        <f>Лист2!D3</f>
        <v>20934667.555256221</v>
      </c>
      <c r="J3" s="44">
        <f>B3*C3*D3*G3/100</f>
        <v>3193046.3250000002</v>
      </c>
      <c r="K3" s="45">
        <f>H3*I3*E3/100</f>
        <v>1400848.6018330774</v>
      </c>
      <c r="L3" s="43">
        <f>(1-F3/100)</f>
        <v>0.86199999999999999</v>
      </c>
      <c r="M3" s="44">
        <f>(J3+K3)/L3</f>
        <v>5329344.4626833843</v>
      </c>
      <c r="N3" s="45">
        <f>M3*0.5</f>
        <v>2664672.2313416922</v>
      </c>
      <c r="O3" s="44">
        <f>$O$13*P3</f>
        <v>1593593.4327996876</v>
      </c>
      <c r="P3" s="98">
        <f>N3/$N$13</f>
        <v>4.0922922344215365E-2</v>
      </c>
      <c r="Q3" s="45">
        <f>N3+O3/2</f>
        <v>3461468.947741536</v>
      </c>
    </row>
    <row r="4" spans="1:17" s="34" customFormat="1">
      <c r="A4" s="43" t="s">
        <v>142</v>
      </c>
      <c r="B4" s="43">
        <v>1534</v>
      </c>
      <c r="C4" s="43">
        <v>0.82</v>
      </c>
      <c r="D4" s="43">
        <v>433</v>
      </c>
      <c r="E4" s="43">
        <v>3.37</v>
      </c>
      <c r="F4" s="43">
        <v>13.8</v>
      </c>
      <c r="G4" s="43">
        <v>105</v>
      </c>
      <c r="H4" s="53">
        <f>2.8*0.7/1.18</f>
        <v>1.6610169491525422</v>
      </c>
      <c r="I4" s="44">
        <f>Лист2!D4</f>
        <v>2664110.8901875545</v>
      </c>
      <c r="J4" s="44">
        <f t="shared" ref="J4:J12" si="0">B4*C4*D4*G4/100</f>
        <v>571895.14199999988</v>
      </c>
      <c r="K4" s="45">
        <f>H4*I4*E4/100</f>
        <v>149126.99365988842</v>
      </c>
      <c r="L4" s="43">
        <f>(1-F4/100)</f>
        <v>0.86199999999999999</v>
      </c>
      <c r="M4" s="44">
        <f>(J4+K4)/L4</f>
        <v>836452.59357295628</v>
      </c>
      <c r="N4" s="45">
        <f t="shared" ref="N4:N12" si="1">M4*0.5</f>
        <v>418226.29678647814</v>
      </c>
      <c r="O4" s="44">
        <f t="shared" ref="O4:O12" si="2">$O$13*P4</f>
        <v>250118.0716126888</v>
      </c>
      <c r="P4" s="98">
        <f t="shared" ref="P4:P12" si="3">N4/$N$13</f>
        <v>6.42294465502956E-3</v>
      </c>
      <c r="Q4" s="45">
        <f t="shared" ref="Q4:Q12" si="4">N4+O4/2</f>
        <v>543285.33259282249</v>
      </c>
    </row>
    <row r="5" spans="1:17" s="34" customFormat="1">
      <c r="A5" s="43" t="s">
        <v>143</v>
      </c>
      <c r="B5" s="43">
        <v>189</v>
      </c>
      <c r="C5" s="43">
        <v>0.97</v>
      </c>
      <c r="D5" s="43">
        <v>9996</v>
      </c>
      <c r="E5" s="43">
        <v>0.69</v>
      </c>
      <c r="F5" s="43">
        <v>13.8</v>
      </c>
      <c r="G5" s="43">
        <v>105</v>
      </c>
      <c r="H5" s="53">
        <f>2.8/1.18</f>
        <v>2.3728813559322033</v>
      </c>
      <c r="I5" s="44">
        <f>Лист2!D5</f>
        <v>8250643.9934722576</v>
      </c>
      <c r="J5" s="44">
        <f t="shared" si="0"/>
        <v>1924195.014</v>
      </c>
      <c r="K5" s="45">
        <f>H5*I5*E5/100</f>
        <v>135086.81521515592</v>
      </c>
      <c r="L5" s="43">
        <f t="shared" ref="L5:L12" si="5">(1-F5/100)</f>
        <v>0.86199999999999999</v>
      </c>
      <c r="M5" s="44">
        <f>(J5+K5)/L5</f>
        <v>2388958.0385326636</v>
      </c>
      <c r="N5" s="45">
        <f t="shared" si="1"/>
        <v>1194479.0192663318</v>
      </c>
      <c r="O5" s="44">
        <f t="shared" si="2"/>
        <v>714351.99358886899</v>
      </c>
      <c r="P5" s="98">
        <f t="shared" si="3"/>
        <v>1.834430950729659E-2</v>
      </c>
      <c r="Q5" s="45">
        <f t="shared" si="4"/>
        <v>1551655.0160607663</v>
      </c>
    </row>
    <row r="6" spans="1:17" s="34" customFormat="1">
      <c r="A6" s="43" t="s">
        <v>22</v>
      </c>
      <c r="B6" s="43">
        <f>2780+343</f>
        <v>3123</v>
      </c>
      <c r="C6" s="43">
        <v>0.97</v>
      </c>
      <c r="D6" s="43">
        <v>6841</v>
      </c>
      <c r="E6" s="43">
        <v>0.69</v>
      </c>
      <c r="F6" s="43">
        <v>13.8</v>
      </c>
      <c r="G6" s="43">
        <v>105</v>
      </c>
      <c r="H6" s="53">
        <f>2.8/1.18</f>
        <v>2.3728813559322033</v>
      </c>
      <c r="I6" s="44">
        <f>Лист2!D6</f>
        <v>173950577.56108397</v>
      </c>
      <c r="J6" s="44">
        <f t="shared" si="0"/>
        <v>21759685.195500001</v>
      </c>
      <c r="K6" s="45">
        <f>H6*I6*E6/100</f>
        <v>2848072.1682035099</v>
      </c>
      <c r="L6" s="43">
        <f t="shared" si="5"/>
        <v>0.86199999999999999</v>
      </c>
      <c r="M6" s="44">
        <f>(J6+K6)/L6</f>
        <v>28547282.324482031</v>
      </c>
      <c r="N6" s="45">
        <f t="shared" si="1"/>
        <v>14273641.162241016</v>
      </c>
      <c r="O6" s="44">
        <f t="shared" si="2"/>
        <v>8536277.2016555015</v>
      </c>
      <c r="P6" s="98">
        <f t="shared" si="3"/>
        <v>0.21920861484621487</v>
      </c>
      <c r="Q6" s="45">
        <f t="shared" si="4"/>
        <v>18541779.763068765</v>
      </c>
    </row>
    <row r="7" spans="1:17" s="33" customFormat="1">
      <c r="A7" s="40" t="s">
        <v>133</v>
      </c>
      <c r="B7" s="40">
        <f>B8+B9+B10+B11</f>
        <v>9406</v>
      </c>
      <c r="C7" s="40"/>
      <c r="D7" s="40"/>
      <c r="E7" s="40"/>
      <c r="F7" s="40"/>
      <c r="G7" s="40"/>
      <c r="H7" s="40"/>
      <c r="I7" s="42">
        <f>SUM(I8:I11)</f>
        <v>286915670</v>
      </c>
      <c r="J7" s="42">
        <f>SUM(J8:J11)</f>
        <v>78101388.393727258</v>
      </c>
      <c r="K7" s="42">
        <f>SUM(K8:K11)</f>
        <v>2173217.719381297</v>
      </c>
      <c r="L7" s="40"/>
      <c r="M7" s="84">
        <f>SUM(M8:M11)</f>
        <v>93125993.170659572</v>
      </c>
      <c r="N7" s="84">
        <f>SUM(N8:N11)</f>
        <v>46562996.585329786</v>
      </c>
      <c r="O7" s="84">
        <f>SUM(O8:O11)</f>
        <v>27846759.048670705</v>
      </c>
      <c r="P7" s="98"/>
      <c r="Q7" s="84">
        <f>SUM(Q8:Q11)</f>
        <v>60486376.109665141</v>
      </c>
    </row>
    <row r="8" spans="1:17" s="34" customFormat="1">
      <c r="A8" s="43" t="s">
        <v>134</v>
      </c>
      <c r="B8" s="91">
        <v>2340.688854115218</v>
      </c>
      <c r="C8" s="43">
        <v>0.97</v>
      </c>
      <c r="D8" s="43">
        <v>8675</v>
      </c>
      <c r="E8" s="43">
        <v>0.91</v>
      </c>
      <c r="F8" s="43">
        <v>13.8</v>
      </c>
      <c r="G8" s="43">
        <v>105</v>
      </c>
      <c r="H8" s="88">
        <f>Лист2!E17</f>
        <v>1.7985203493629709</v>
      </c>
      <c r="I8" s="44">
        <v>71399140</v>
      </c>
      <c r="J8" s="44">
        <f>B8*C8*D8*G8/100</f>
        <v>20681127.111924332</v>
      </c>
      <c r="K8" s="45">
        <f>H8*I8*E8/100</f>
        <v>1168556.5365748426</v>
      </c>
      <c r="L8" s="43">
        <f t="shared" si="5"/>
        <v>0.86199999999999999</v>
      </c>
      <c r="M8" s="44">
        <f>(J8+K8)/L8</f>
        <v>25347660.845126655</v>
      </c>
      <c r="N8" s="45">
        <f t="shared" si="1"/>
        <v>12673830.422563327</v>
      </c>
      <c r="O8" s="44">
        <f t="shared" si="2"/>
        <v>7579518.6710991571</v>
      </c>
      <c r="P8" s="98">
        <f t="shared" si="3"/>
        <v>0.19463939019815849</v>
      </c>
      <c r="Q8" s="45">
        <f t="shared" si="4"/>
        <v>16463589.758112906</v>
      </c>
    </row>
    <row r="9" spans="1:17" s="34" customFormat="1">
      <c r="A9" s="43" t="s">
        <v>135</v>
      </c>
      <c r="B9" s="91">
        <v>5547.8773926150498</v>
      </c>
      <c r="C9" s="43">
        <v>0.97</v>
      </c>
      <c r="D9" s="43">
        <v>8034</v>
      </c>
      <c r="E9" s="43">
        <v>0.3</v>
      </c>
      <c r="F9" s="43">
        <v>13.8</v>
      </c>
      <c r="G9" s="43">
        <v>105</v>
      </c>
      <c r="H9" s="88">
        <f>H8</f>
        <v>1.7985203493629709</v>
      </c>
      <c r="I9" s="44">
        <v>169229530</v>
      </c>
      <c r="J9" s="44">
        <f t="shared" si="0"/>
        <v>45396222.441256292</v>
      </c>
      <c r="K9" s="45">
        <f>H9*I9*E9/100</f>
        <v>913088.26025439391</v>
      </c>
      <c r="L9" s="43">
        <f t="shared" si="5"/>
        <v>0.86199999999999999</v>
      </c>
      <c r="M9" s="44">
        <f>(J9+K9)/L9</f>
        <v>53723098.261613324</v>
      </c>
      <c r="N9" s="45">
        <f t="shared" si="1"/>
        <v>26861549.130806662</v>
      </c>
      <c r="O9" s="44">
        <f t="shared" si="2"/>
        <v>16064410.393966598</v>
      </c>
      <c r="P9" s="98">
        <f t="shared" si="3"/>
        <v>0.41252844390990651</v>
      </c>
      <c r="Q9" s="45">
        <f t="shared" si="4"/>
        <v>34893754.327789962</v>
      </c>
    </row>
    <row r="10" spans="1:17" s="34" customFormat="1">
      <c r="A10" s="43" t="s">
        <v>136</v>
      </c>
      <c r="B10" s="91">
        <v>1517.4337532697325</v>
      </c>
      <c r="C10" s="43">
        <v>0.97</v>
      </c>
      <c r="D10" s="43">
        <v>7780</v>
      </c>
      <c r="E10" s="43">
        <v>0.11</v>
      </c>
      <c r="F10" s="43">
        <v>13.8</v>
      </c>
      <c r="G10" s="43">
        <v>105</v>
      </c>
      <c r="H10" s="88">
        <f>H9</f>
        <v>1.7985203493629709</v>
      </c>
      <c r="I10" s="44">
        <v>46287000</v>
      </c>
      <c r="J10" s="44">
        <f t="shared" si="0"/>
        <v>12024038.840546632</v>
      </c>
      <c r="K10" s="45">
        <f>H10*I10*E10/100</f>
        <v>91572.922552060219</v>
      </c>
      <c r="L10" s="43">
        <f t="shared" si="5"/>
        <v>0.86199999999999999</v>
      </c>
      <c r="M10" s="44">
        <f>(J10+K10)/L10</f>
        <v>14055234.063919596</v>
      </c>
      <c r="N10" s="45">
        <f t="shared" si="1"/>
        <v>7027617.0319597982</v>
      </c>
      <c r="O10" s="44">
        <f t="shared" si="2"/>
        <v>4202829.983604949</v>
      </c>
      <c r="P10" s="98">
        <f t="shared" si="3"/>
        <v>0.10792720496020293</v>
      </c>
      <c r="Q10" s="45">
        <f t="shared" si="4"/>
        <v>9129032.0237622727</v>
      </c>
    </row>
    <row r="11" spans="1:17" s="34" customFormat="1">
      <c r="A11" s="43" t="s">
        <v>137</v>
      </c>
      <c r="B11" s="91">
        <v>0</v>
      </c>
      <c r="C11" s="43">
        <v>0.97</v>
      </c>
      <c r="D11" s="43">
        <v>6700</v>
      </c>
      <c r="E11" s="43">
        <v>0.11</v>
      </c>
      <c r="F11" s="43">
        <v>13.8</v>
      </c>
      <c r="G11" s="43">
        <v>105</v>
      </c>
      <c r="H11" s="88">
        <f>H10</f>
        <v>1.7985203493629709</v>
      </c>
      <c r="I11" s="46">
        <v>0</v>
      </c>
      <c r="J11" s="44">
        <f t="shared" si="0"/>
        <v>0</v>
      </c>
      <c r="K11" s="45">
        <f>H11*I11*E11/100</f>
        <v>0</v>
      </c>
      <c r="L11" s="43">
        <f t="shared" si="5"/>
        <v>0.86199999999999999</v>
      </c>
      <c r="M11" s="44">
        <f>(J11+K11)/L11</f>
        <v>0</v>
      </c>
      <c r="N11" s="45">
        <f t="shared" si="1"/>
        <v>0</v>
      </c>
      <c r="O11" s="44">
        <f t="shared" si="2"/>
        <v>0</v>
      </c>
      <c r="P11" s="98"/>
      <c r="Q11" s="45">
        <f t="shared" si="4"/>
        <v>0</v>
      </c>
    </row>
    <row r="12" spans="1:17" s="33" customFormat="1">
      <c r="A12" s="40" t="s">
        <v>138</v>
      </c>
      <c r="B12" s="40">
        <v>20</v>
      </c>
      <c r="C12" s="47">
        <v>0.97</v>
      </c>
      <c r="D12" s="47">
        <v>34</v>
      </c>
      <c r="E12" s="47">
        <v>0</v>
      </c>
      <c r="F12" s="43">
        <v>13.8</v>
      </c>
      <c r="G12" s="43">
        <v>105</v>
      </c>
      <c r="H12" s="88">
        <f>H11</f>
        <v>1.7985203493629709</v>
      </c>
      <c r="I12" s="48">
        <v>60634330</v>
      </c>
      <c r="J12" s="44">
        <f t="shared" si="0"/>
        <v>692.57999999999981</v>
      </c>
      <c r="K12" s="45">
        <f>H12*I12*E12/100</f>
        <v>0</v>
      </c>
      <c r="L12" s="43">
        <f t="shared" si="5"/>
        <v>0.86199999999999999</v>
      </c>
      <c r="M12" s="44">
        <f>(J12+K12)/L12</f>
        <v>803.45707656612512</v>
      </c>
      <c r="N12" s="45">
        <f t="shared" si="1"/>
        <v>401.72853828306256</v>
      </c>
      <c r="O12" s="44">
        <f t="shared" si="2"/>
        <v>240.25167254952123</v>
      </c>
      <c r="P12" s="98">
        <f t="shared" si="3"/>
        <v>6.1695789756983514E-6</v>
      </c>
      <c r="Q12" s="45">
        <f t="shared" si="4"/>
        <v>521.85437455782312</v>
      </c>
    </row>
    <row r="13" spans="1:17" s="52" customFormat="1">
      <c r="A13" s="49" t="s">
        <v>149</v>
      </c>
      <c r="B13" s="50">
        <f>B2+B7+B12</f>
        <v>26927</v>
      </c>
      <c r="C13" s="50"/>
      <c r="D13" s="50"/>
      <c r="E13" s="50"/>
      <c r="F13" s="50"/>
      <c r="G13" s="50"/>
      <c r="H13" s="50"/>
      <c r="I13" s="51">
        <f>I2+I7+I12</f>
        <v>553350000</v>
      </c>
      <c r="J13" s="51">
        <f>J2+J7+J12</f>
        <v>105550902.65022726</v>
      </c>
      <c r="K13" s="51">
        <f>K2+K7+K12</f>
        <v>6706352.2982929284</v>
      </c>
      <c r="L13" s="50"/>
      <c r="M13" s="51">
        <f>M2+M7+M12</f>
        <v>130228834.04700717</v>
      </c>
      <c r="N13" s="51">
        <f>N2+N7+N12</f>
        <v>65114417.023503587</v>
      </c>
      <c r="O13" s="89">
        <v>38941340</v>
      </c>
      <c r="Q13" s="51">
        <f>Q2+Q7+Q12</f>
        <v>84585087.023503587</v>
      </c>
    </row>
    <row r="14" spans="1:17">
      <c r="M14" s="36"/>
      <c r="N14" s="36">
        <f>M13*0.5</f>
        <v>65114417.023503587</v>
      </c>
      <c r="Q14" s="36">
        <f>M13*0.5+O13*0.5</f>
        <v>84585087.023503587</v>
      </c>
    </row>
    <row r="15" spans="1:17" ht="15.6">
      <c r="A15" s="63" t="s">
        <v>154</v>
      </c>
      <c r="B15" s="55" t="s">
        <v>147</v>
      </c>
      <c r="C15" s="55" t="s">
        <v>155</v>
      </c>
      <c r="D15" s="55" t="s">
        <v>156</v>
      </c>
      <c r="E15" s="55" t="s">
        <v>157</v>
      </c>
      <c r="F15" s="55" t="s">
        <v>158</v>
      </c>
      <c r="G15" s="85"/>
      <c r="H15" s="85" t="s">
        <v>150</v>
      </c>
      <c r="I15" s="65" t="s">
        <v>162</v>
      </c>
      <c r="J15" s="66" t="s">
        <v>163</v>
      </c>
      <c r="K15" s="66" t="s">
        <v>164</v>
      </c>
      <c r="L15" s="78" t="s">
        <v>165</v>
      </c>
    </row>
    <row r="16" spans="1:17">
      <c r="A16" s="43" t="s">
        <v>141</v>
      </c>
      <c r="B16" s="56">
        <f>2.8/1.18</f>
        <v>2.3728813559322033</v>
      </c>
      <c r="C16" s="55">
        <v>1.22664</v>
      </c>
      <c r="D16" s="55">
        <v>2.6189999999999998E-3</v>
      </c>
      <c r="E16" s="57">
        <f>I3</f>
        <v>20934667.555256221</v>
      </c>
      <c r="F16" s="57">
        <f>M3</f>
        <v>5329344.4626833843</v>
      </c>
      <c r="G16" s="57">
        <f>(B16-C16-D16-0.01)*E16</f>
        <v>23732007.154647019</v>
      </c>
      <c r="H16" s="57">
        <f>MIN(F16,G16)</f>
        <v>5329344.4626833843</v>
      </c>
      <c r="I16" s="67">
        <v>4.1500000000000002E-2</v>
      </c>
      <c r="J16" s="57">
        <f>E16/2</f>
        <v>10467333.777628111</v>
      </c>
      <c r="K16" s="57">
        <f>J16</f>
        <v>10467333.777628111</v>
      </c>
      <c r="L16" s="55"/>
    </row>
    <row r="17" spans="1:15">
      <c r="A17" s="43" t="s">
        <v>142</v>
      </c>
      <c r="B17" s="56">
        <f>2.8*0.7/1.18</f>
        <v>1.6610169491525422</v>
      </c>
      <c r="C17" s="55">
        <v>1.22664</v>
      </c>
      <c r="D17" s="55">
        <v>2.6189999999999998E-3</v>
      </c>
      <c r="E17" s="57">
        <f>I4</f>
        <v>2664110.8901875545</v>
      </c>
      <c r="F17" s="57">
        <f>M4</f>
        <v>836452.59357295628</v>
      </c>
      <c r="G17" s="57">
        <f>(B17-C17-D17-0.01)*E17</f>
        <v>1123609.9453604566</v>
      </c>
      <c r="H17" s="57">
        <f>MIN(F17,G17)</f>
        <v>836452.59357295628</v>
      </c>
      <c r="I17" s="67">
        <f>I16</f>
        <v>4.1500000000000002E-2</v>
      </c>
      <c r="J17" s="57">
        <f>E17/2</f>
        <v>1332055.4450937773</v>
      </c>
      <c r="K17" s="57">
        <f>J17</f>
        <v>1332055.4450937773</v>
      </c>
      <c r="L17" s="55"/>
    </row>
    <row r="18" spans="1:15">
      <c r="A18" s="43" t="s">
        <v>143</v>
      </c>
      <c r="B18" s="56">
        <f>2.8/1.18</f>
        <v>2.3728813559322033</v>
      </c>
      <c r="C18" s="55">
        <v>1.22664</v>
      </c>
      <c r="D18" s="55">
        <v>2.6189999999999998E-3</v>
      </c>
      <c r="E18" s="57">
        <f>I5</f>
        <v>8250643.9934722576</v>
      </c>
      <c r="F18" s="57">
        <f>M5</f>
        <v>2388958.0385326636</v>
      </c>
      <c r="G18" s="57">
        <f>(B18-C18-D18-0.01)*E18</f>
        <v>9353114.4818379041</v>
      </c>
      <c r="H18" s="57">
        <f>MIN(F18,G18)</f>
        <v>2388958.0385326636</v>
      </c>
      <c r="I18" s="67">
        <f>I17</f>
        <v>4.1500000000000002E-2</v>
      </c>
      <c r="J18" s="57">
        <f>E18/2</f>
        <v>4125321.9967361288</v>
      </c>
      <c r="K18" s="57">
        <f>J18</f>
        <v>4125321.9967361288</v>
      </c>
      <c r="L18" s="55"/>
    </row>
    <row r="19" spans="1:15">
      <c r="A19" s="43" t="s">
        <v>22</v>
      </c>
      <c r="B19" s="56">
        <f>2.8/1.18</f>
        <v>2.3728813559322033</v>
      </c>
      <c r="C19" s="55">
        <v>1.22664</v>
      </c>
      <c r="D19" s="55">
        <v>2.6189999999999998E-3</v>
      </c>
      <c r="E19" s="57">
        <f>I6</f>
        <v>173950577.56108397</v>
      </c>
      <c r="F19" s="57">
        <f>M6</f>
        <v>28547282.324482031</v>
      </c>
      <c r="G19" s="57">
        <f>(B19-C19-D19-0.01)*E19</f>
        <v>197194263.55056348</v>
      </c>
      <c r="H19" s="57">
        <f>MIN(F19,G19)</f>
        <v>28547282.324482031</v>
      </c>
      <c r="I19" s="67">
        <f>I18</f>
        <v>4.1500000000000002E-2</v>
      </c>
      <c r="J19" s="57">
        <f>E19/2</f>
        <v>86975288.780541986</v>
      </c>
      <c r="K19" s="57">
        <f>J19</f>
        <v>86975288.780541986</v>
      </c>
      <c r="L19" s="55"/>
    </row>
    <row r="20" spans="1:15">
      <c r="A20" s="59" t="s">
        <v>149</v>
      </c>
      <c r="B20" s="56"/>
      <c r="C20" s="55"/>
      <c r="D20" s="55"/>
      <c r="E20" s="55"/>
      <c r="F20" s="57">
        <f>SUM(F16:F19)</f>
        <v>37102037.419271037</v>
      </c>
      <c r="G20" s="57">
        <f>SUM(G16:G19)</f>
        <v>231402995.13240886</v>
      </c>
      <c r="H20" s="60">
        <f>SUM(H16:H19)</f>
        <v>37102037.419271037</v>
      </c>
      <c r="I20" s="55"/>
      <c r="J20" s="57">
        <f>SUM(J16:J19)</f>
        <v>102900000</v>
      </c>
      <c r="K20" s="62">
        <f>J20</f>
        <v>102900000</v>
      </c>
      <c r="L20" s="70">
        <f>(H20-J20*I19)/K20</f>
        <v>0.31906401767999065</v>
      </c>
    </row>
    <row r="22" spans="1:15">
      <c r="A22" s="64" t="s">
        <v>138</v>
      </c>
      <c r="B22" s="57" t="s">
        <v>159</v>
      </c>
      <c r="C22" s="55" t="s">
        <v>160</v>
      </c>
      <c r="D22" s="55" t="s">
        <v>150</v>
      </c>
      <c r="E22" s="66" t="s">
        <v>163</v>
      </c>
      <c r="F22" s="66" t="s">
        <v>164</v>
      </c>
      <c r="G22" s="55" t="s">
        <v>175</v>
      </c>
      <c r="H22" s="55" t="s">
        <v>176</v>
      </c>
      <c r="I22" s="79" t="s">
        <v>162</v>
      </c>
      <c r="J22" s="76" t="s">
        <v>165</v>
      </c>
    </row>
    <row r="23" spans="1:15">
      <c r="A23" s="55"/>
      <c r="B23" s="57">
        <f>Q13-M7-H20</f>
        <v>-45642943.566427022</v>
      </c>
      <c r="C23" s="57">
        <f>0.01*I12</f>
        <v>606343.30000000005</v>
      </c>
      <c r="D23" s="60">
        <f>MAX(B23,C23)</f>
        <v>606343.30000000005</v>
      </c>
      <c r="E23" s="57">
        <f>B43</f>
        <v>27313697</v>
      </c>
      <c r="F23" s="57">
        <f>C43</f>
        <v>33320636</v>
      </c>
      <c r="G23" s="73">
        <f>F23/J31/1000</f>
        <v>6.7130223930945201</v>
      </c>
      <c r="H23" s="92">
        <f>F23/J31/1000</f>
        <v>6.7130223930945201</v>
      </c>
      <c r="I23" s="56">
        <f>D43</f>
        <v>9.9000000000000005E-2</v>
      </c>
      <c r="J23" s="77">
        <f>(D23-I23*E23)/(F23+H23*L26/F26)</f>
        <v>-6.0649963075205725E-2</v>
      </c>
    </row>
    <row r="25" spans="1:15">
      <c r="A25" s="63" t="s">
        <v>133</v>
      </c>
      <c r="B25" s="61" t="s">
        <v>157</v>
      </c>
      <c r="C25" s="61" t="s">
        <v>161</v>
      </c>
      <c r="D25" s="61" t="s">
        <v>166</v>
      </c>
      <c r="E25" s="61" t="s">
        <v>167</v>
      </c>
      <c r="F25" s="93" t="s">
        <v>147</v>
      </c>
      <c r="G25" s="65" t="s">
        <v>168</v>
      </c>
      <c r="H25" s="66" t="s">
        <v>163</v>
      </c>
      <c r="I25" s="66" t="s">
        <v>164</v>
      </c>
      <c r="J25" s="55" t="s">
        <v>175</v>
      </c>
      <c r="K25" s="55" t="s">
        <v>176</v>
      </c>
      <c r="L25" s="66" t="s">
        <v>177</v>
      </c>
      <c r="M25" s="76" t="s">
        <v>165</v>
      </c>
      <c r="N25" s="79" t="s">
        <v>186</v>
      </c>
      <c r="O25" s="76" t="s">
        <v>178</v>
      </c>
    </row>
    <row r="26" spans="1:15">
      <c r="A26" s="43" t="s">
        <v>134</v>
      </c>
      <c r="B26" s="57">
        <f>I8</f>
        <v>71399140</v>
      </c>
      <c r="C26" s="62">
        <f>($Q$13-$H$20-$D$23)*M8/$M$7</f>
        <v>12759218.049452795</v>
      </c>
      <c r="D26" s="55">
        <v>0.45</v>
      </c>
      <c r="E26" s="55">
        <v>16.07</v>
      </c>
      <c r="F26" s="56">
        <f>H8</f>
        <v>1.7985203493629709</v>
      </c>
      <c r="G26" s="56">
        <f>F26*D26*E26/100</f>
        <v>0.13005999906418325</v>
      </c>
      <c r="H26" s="57">
        <v>35828592</v>
      </c>
      <c r="I26" s="57">
        <v>35570549</v>
      </c>
      <c r="J26" s="74">
        <f>H26/$J$31/1000</f>
        <v>7.2182938047475202</v>
      </c>
      <c r="K26" s="74">
        <f>J26</f>
        <v>7.2182938047475202</v>
      </c>
      <c r="L26" s="62">
        <v>339333</v>
      </c>
      <c r="M26" s="77">
        <f>(C26-(G26*H26+N26*J26*6))/(I26+K26*L26/F26)</f>
        <v>0.19052565130856344</v>
      </c>
      <c r="N26" s="57">
        <f>L26*D26*E26/100</f>
        <v>24538.865895000003</v>
      </c>
      <c r="O26" s="94">
        <f>G26*L26/F26</f>
        <v>24538.865894999999</v>
      </c>
    </row>
    <row r="27" spans="1:15">
      <c r="A27" s="43" t="s">
        <v>135</v>
      </c>
      <c r="B27" s="57">
        <f>I9</f>
        <v>169229530</v>
      </c>
      <c r="C27" s="62">
        <f>($Q$13-$H$20-$D$23)*M9/$M$7</f>
        <v>27042523.931508664</v>
      </c>
      <c r="D27" s="55">
        <v>0.45</v>
      </c>
      <c r="E27" s="55">
        <v>14.77</v>
      </c>
      <c r="F27" s="56">
        <f>H9</f>
        <v>1.7985203493629709</v>
      </c>
      <c r="G27" s="56">
        <f>F27*D27*E27/100</f>
        <v>0.11953865502040985</v>
      </c>
      <c r="H27" s="57">
        <v>84920570</v>
      </c>
      <c r="I27" s="57">
        <v>84308959</v>
      </c>
      <c r="J27" s="74">
        <f>H27/$J$31/1000</f>
        <v>17.108727697885204</v>
      </c>
      <c r="K27" s="74">
        <f>J27</f>
        <v>17.108727697885204</v>
      </c>
      <c r="L27" s="57">
        <f>L26</f>
        <v>339333</v>
      </c>
      <c r="M27" s="77">
        <f>(C27-(G27*H27+N27*J27*6))/(I27+K27*L27/F27)</f>
        <v>0.16651300224865656</v>
      </c>
      <c r="N27" s="57">
        <f>L27*D27*E27/100</f>
        <v>22553.767845000002</v>
      </c>
      <c r="O27" s="94">
        <f>G27*L27/F27</f>
        <v>22553.767844999995</v>
      </c>
    </row>
    <row r="28" spans="1:15">
      <c r="A28" s="43" t="s">
        <v>136</v>
      </c>
      <c r="B28" s="57">
        <f>I10</f>
        <v>46287000</v>
      </c>
      <c r="C28" s="62">
        <f>($Q$13-$H$20-$D$23)*M10/$M$7</f>
        <v>7074964.323271092</v>
      </c>
      <c r="D28" s="55">
        <v>0.45</v>
      </c>
      <c r="E28" s="55">
        <v>10.06</v>
      </c>
      <c r="F28" s="56">
        <f>H10</f>
        <v>1.7985203493629709</v>
      </c>
      <c r="G28" s="56">
        <f>F28*D28*E28/100</f>
        <v>8.1419016215661694E-2</v>
      </c>
      <c r="H28" s="57">
        <v>23227142</v>
      </c>
      <c r="I28" s="57">
        <v>23059857</v>
      </c>
      <c r="J28" s="74">
        <f>H28/$J$31/1000</f>
        <v>4.679512251014244</v>
      </c>
      <c r="K28" s="74">
        <f>J28</f>
        <v>4.679512251014244</v>
      </c>
      <c r="L28" s="57">
        <f>L27</f>
        <v>339333</v>
      </c>
      <c r="M28" s="77">
        <f>(C28-(G28*H28+N28*J28*6))/(I28+K28*L28/F28)</f>
        <v>0.19849528763904359</v>
      </c>
      <c r="N28" s="57">
        <f>L28*D28*E28/100</f>
        <v>15361.604910000002</v>
      </c>
      <c r="O28" s="94">
        <f>G28*L28/F28</f>
        <v>15361.60491</v>
      </c>
    </row>
    <row r="29" spans="1:15">
      <c r="A29" s="43" t="s">
        <v>137</v>
      </c>
      <c r="B29" s="57">
        <f>I11</f>
        <v>0</v>
      </c>
      <c r="C29" s="62">
        <f>($Q$13-$H$20-$D$23)*M11/$M$7</f>
        <v>0</v>
      </c>
      <c r="D29" s="55">
        <v>0.45</v>
      </c>
      <c r="E29" s="55">
        <v>5.84</v>
      </c>
      <c r="F29" s="56">
        <f>H11</f>
        <v>1.7985203493629709</v>
      </c>
      <c r="G29" s="56">
        <f>F29*D29*E29/100</f>
        <v>4.7265114781258874E-2</v>
      </c>
      <c r="H29" s="57">
        <f>B29/2</f>
        <v>0</v>
      </c>
      <c r="I29" s="57">
        <f>H29</f>
        <v>0</v>
      </c>
      <c r="J29" s="74">
        <f>H29/$J$31/1000</f>
        <v>0</v>
      </c>
      <c r="K29" s="74">
        <f>J29</f>
        <v>0</v>
      </c>
      <c r="L29" s="57">
        <f>L28</f>
        <v>339333</v>
      </c>
      <c r="M29" s="77" t="e">
        <f>(C29-(G29*H29+N29*J29*6))/(I29+K29*L29/F29)</f>
        <v>#DIV/0!</v>
      </c>
      <c r="N29" s="57">
        <f>L29*D29*E29/100</f>
        <v>8917.6712400000015</v>
      </c>
      <c r="O29" s="94">
        <f>G29*L29/F29</f>
        <v>8917.6712399999997</v>
      </c>
    </row>
    <row r="30" spans="1:15">
      <c r="A30" s="55"/>
      <c r="B30" s="57">
        <f>B26+B27+B28+B29</f>
        <v>286915670</v>
      </c>
      <c r="C30" s="60">
        <f>C26+C27+C28+C29</f>
        <v>46876706.304232553</v>
      </c>
      <c r="D30" s="55"/>
      <c r="E30" s="55"/>
      <c r="F30" s="55"/>
      <c r="G30" s="55"/>
      <c r="H30" s="57">
        <f>SUM(H26:H29)</f>
        <v>143976304</v>
      </c>
      <c r="I30" s="62">
        <f>H30</f>
        <v>143976304</v>
      </c>
      <c r="J30" s="68">
        <f>SUM(J26:J29)</f>
        <v>29.00653375364697</v>
      </c>
      <c r="K30" s="74">
        <f>J30</f>
        <v>29.00653375364697</v>
      </c>
      <c r="L30" s="55"/>
      <c r="M30" s="55"/>
      <c r="N30" s="55"/>
      <c r="O30" s="55"/>
    </row>
    <row r="31" spans="1:15">
      <c r="C31" s="36"/>
      <c r="J31" s="72">
        <f>Лист2!C15</f>
        <v>4963.5818337617811</v>
      </c>
      <c r="K31" s="75"/>
    </row>
    <row r="32" spans="1:15">
      <c r="A32" s="83" t="s">
        <v>179</v>
      </c>
      <c r="B32" s="66" t="s">
        <v>163</v>
      </c>
      <c r="C32" s="66" t="s">
        <v>164</v>
      </c>
      <c r="D32" s="65" t="s">
        <v>168</v>
      </c>
      <c r="E32" s="79" t="s">
        <v>178</v>
      </c>
      <c r="F32" s="61" t="s">
        <v>161</v>
      </c>
      <c r="G32" s="82"/>
    </row>
    <row r="33" spans="1:12">
      <c r="A33" s="40" t="s">
        <v>132</v>
      </c>
      <c r="B33" s="55"/>
      <c r="C33" s="55"/>
      <c r="D33" s="55"/>
      <c r="E33" s="55"/>
      <c r="F33" s="55"/>
      <c r="G33" s="82"/>
    </row>
    <row r="34" spans="1:12">
      <c r="A34" s="43" t="s">
        <v>141</v>
      </c>
      <c r="B34" s="57">
        <f t="shared" ref="B34:C37" si="6">J16</f>
        <v>10467333.777628111</v>
      </c>
      <c r="C34" s="57">
        <f t="shared" si="6"/>
        <v>10467333.777628111</v>
      </c>
      <c r="D34" s="69">
        <f>I16</f>
        <v>4.1500000000000002E-2</v>
      </c>
      <c r="E34" s="69">
        <f>L20</f>
        <v>0.31906401767999065</v>
      </c>
      <c r="F34" s="62">
        <f>B34*D34+C34*E34</f>
        <v>3774143.9212590656</v>
      </c>
      <c r="G34" s="82"/>
    </row>
    <row r="35" spans="1:12">
      <c r="A35" s="43" t="s">
        <v>142</v>
      </c>
      <c r="B35" s="57">
        <f t="shared" si="6"/>
        <v>1332055.4450937773</v>
      </c>
      <c r="C35" s="57">
        <f t="shared" si="6"/>
        <v>1332055.4450937773</v>
      </c>
      <c r="D35" s="69">
        <f>I17</f>
        <v>4.1500000000000002E-2</v>
      </c>
      <c r="E35" s="69">
        <f>E34</f>
        <v>0.31906401767999065</v>
      </c>
      <c r="F35" s="62">
        <f t="shared" ref="F35:F43" si="7">B35*D35+C35*E35</f>
        <v>480291.26305552048</v>
      </c>
      <c r="G35" s="82"/>
    </row>
    <row r="36" spans="1:12">
      <c r="A36" s="43" t="s">
        <v>143</v>
      </c>
      <c r="B36" s="57">
        <f t="shared" si="6"/>
        <v>4125321.9967361288</v>
      </c>
      <c r="C36" s="57">
        <f t="shared" si="6"/>
        <v>4125321.9967361288</v>
      </c>
      <c r="D36" s="69">
        <f>I18</f>
        <v>4.1500000000000002E-2</v>
      </c>
      <c r="E36" s="69">
        <f>E35</f>
        <v>0.31906401767999065</v>
      </c>
      <c r="F36" s="62">
        <f t="shared" si="7"/>
        <v>1487442.6733668197</v>
      </c>
      <c r="G36" s="82"/>
    </row>
    <row r="37" spans="1:12">
      <c r="A37" s="43" t="s">
        <v>22</v>
      </c>
      <c r="B37" s="57">
        <f t="shared" si="6"/>
        <v>86975288.780541986</v>
      </c>
      <c r="C37" s="57">
        <f t="shared" si="6"/>
        <v>86975288.780541986</v>
      </c>
      <c r="D37" s="69">
        <f>I19</f>
        <v>4.1500000000000002E-2</v>
      </c>
      <c r="E37" s="69">
        <f>E36</f>
        <v>0.31906401767999065</v>
      </c>
      <c r="F37" s="62">
        <f t="shared" si="7"/>
        <v>31360159.561589636</v>
      </c>
      <c r="G37" s="82"/>
    </row>
    <row r="38" spans="1:12">
      <c r="A38" s="40" t="s">
        <v>133</v>
      </c>
      <c r="B38" s="55"/>
      <c r="C38" s="55"/>
      <c r="D38" s="55"/>
      <c r="E38" s="55"/>
      <c r="F38" s="55"/>
      <c r="G38" s="55" t="s">
        <v>175</v>
      </c>
      <c r="H38" s="55" t="s">
        <v>176</v>
      </c>
      <c r="I38" s="79" t="s">
        <v>186</v>
      </c>
      <c r="J38" s="76" t="s">
        <v>178</v>
      </c>
      <c r="K38" s="61" t="s">
        <v>161</v>
      </c>
    </row>
    <row r="39" spans="1:12">
      <c r="A39" s="43" t="s">
        <v>134</v>
      </c>
      <c r="B39" s="57">
        <f t="shared" ref="B39:C42" si="8">H26</f>
        <v>35828592</v>
      </c>
      <c r="C39" s="57">
        <f t="shared" si="8"/>
        <v>35570549</v>
      </c>
      <c r="D39" s="56">
        <f>G26</f>
        <v>0.13005999906418325</v>
      </c>
      <c r="E39" s="73">
        <f>M26</f>
        <v>0.19052565130856344</v>
      </c>
      <c r="F39" s="62">
        <f t="shared" si="7"/>
        <v>11436968.657619175</v>
      </c>
      <c r="G39" s="74">
        <f t="shared" ref="G39:H42" si="9">J26</f>
        <v>7.2182938047475202</v>
      </c>
      <c r="H39" s="74">
        <f t="shared" si="9"/>
        <v>7.2182938047475202</v>
      </c>
      <c r="I39" s="95">
        <f t="shared" ref="I39:J42" si="10">N26</f>
        <v>24538.865895000003</v>
      </c>
      <c r="J39" s="96">
        <f t="shared" si="10"/>
        <v>24538.865894999999</v>
      </c>
      <c r="K39" s="97">
        <f>G39*I39*6+H39*J39*6</f>
        <v>2125544.9239849048</v>
      </c>
    </row>
    <row r="40" spans="1:12">
      <c r="A40" s="43" t="s">
        <v>135</v>
      </c>
      <c r="B40" s="57">
        <f t="shared" si="8"/>
        <v>84920570</v>
      </c>
      <c r="C40" s="57">
        <f t="shared" si="8"/>
        <v>84308959</v>
      </c>
      <c r="D40" s="56">
        <f>G27</f>
        <v>0.11953865502040985</v>
      </c>
      <c r="E40" s="73">
        <f>M27</f>
        <v>0.16651300224865656</v>
      </c>
      <c r="F40" s="62">
        <f t="shared" si="7"/>
        <v>24189828.600915462</v>
      </c>
      <c r="G40" s="74">
        <f t="shared" si="9"/>
        <v>17.108727697885204</v>
      </c>
      <c r="H40" s="74">
        <f t="shared" si="9"/>
        <v>17.108727697885204</v>
      </c>
      <c r="I40" s="95">
        <f t="shared" si="10"/>
        <v>22553.767845000002</v>
      </c>
      <c r="J40" s="96">
        <f t="shared" si="10"/>
        <v>22553.767844999995</v>
      </c>
      <c r="K40" s="97">
        <f>G40*I40*6+H40*J40*6</f>
        <v>4630395.27145709</v>
      </c>
    </row>
    <row r="41" spans="1:12">
      <c r="A41" s="43" t="s">
        <v>136</v>
      </c>
      <c r="B41" s="57">
        <f t="shared" si="8"/>
        <v>23227142</v>
      </c>
      <c r="C41" s="57">
        <f t="shared" si="8"/>
        <v>23059857</v>
      </c>
      <c r="D41" s="56">
        <f>G28</f>
        <v>8.1419016215661694E-2</v>
      </c>
      <c r="E41" s="73">
        <f>M28</f>
        <v>0.19849528763904359</v>
      </c>
      <c r="F41" s="62">
        <f t="shared" si="7"/>
        <v>6468403.999271689</v>
      </c>
      <c r="G41" s="74">
        <f t="shared" si="9"/>
        <v>4.679512251014244</v>
      </c>
      <c r="H41" s="74">
        <f t="shared" si="9"/>
        <v>4.679512251014244</v>
      </c>
      <c r="I41" s="95">
        <f t="shared" si="10"/>
        <v>15361.604910000002</v>
      </c>
      <c r="J41" s="96">
        <f t="shared" si="10"/>
        <v>15361.60491</v>
      </c>
      <c r="K41" s="97">
        <f>G41*I41*6+H41*J41*6</f>
        <v>862617.82045902673</v>
      </c>
    </row>
    <row r="42" spans="1:12">
      <c r="A42" s="43" t="s">
        <v>137</v>
      </c>
      <c r="B42" s="57">
        <f t="shared" si="8"/>
        <v>0</v>
      </c>
      <c r="C42" s="57">
        <f t="shared" si="8"/>
        <v>0</v>
      </c>
      <c r="D42" s="56"/>
      <c r="E42" s="73"/>
      <c r="F42" s="62"/>
      <c r="G42" s="74">
        <f t="shared" si="9"/>
        <v>0</v>
      </c>
      <c r="H42" s="74">
        <f t="shared" si="9"/>
        <v>0</v>
      </c>
      <c r="I42" s="95">
        <f t="shared" si="10"/>
        <v>8917.6712400000015</v>
      </c>
      <c r="J42" s="96">
        <f t="shared" si="10"/>
        <v>8917.6712399999997</v>
      </c>
      <c r="K42" s="97">
        <f>G42*I42*6+H42*J42*6</f>
        <v>0</v>
      </c>
    </row>
    <row r="43" spans="1:12">
      <c r="A43" s="40" t="s">
        <v>138</v>
      </c>
      <c r="B43" s="57">
        <v>27313697</v>
      </c>
      <c r="C43" s="57">
        <v>33320636</v>
      </c>
      <c r="D43" s="56">
        <v>9.9000000000000005E-2</v>
      </c>
      <c r="E43" s="81">
        <f>J23</f>
        <v>-6.0649963075205725E-2</v>
      </c>
      <c r="F43" s="62">
        <f t="shared" si="7"/>
        <v>683160.6599576294</v>
      </c>
      <c r="G43" s="55"/>
      <c r="H43" s="55"/>
      <c r="I43" s="55"/>
      <c r="J43" s="55"/>
      <c r="K43" s="97">
        <f>SUM(K39:K42)</f>
        <v>7618558.0159010217</v>
      </c>
      <c r="L43" s="75">
        <f>F44+K43</f>
        <v>87498957.352936029</v>
      </c>
    </row>
    <row r="44" spans="1:12">
      <c r="B44" s="36">
        <f>SUM(B34:B43)</f>
        <v>274190001</v>
      </c>
      <c r="C44" s="80">
        <f>B44</f>
        <v>274190001</v>
      </c>
      <c r="F44" s="58">
        <f>SUM(F34:F43)</f>
        <v>79880399.337035</v>
      </c>
      <c r="G44" s="36"/>
    </row>
    <row r="45" spans="1:12">
      <c r="F45" s="36">
        <f>H20+D23+C30</f>
        <v>84585087.023503587</v>
      </c>
    </row>
    <row r="46" spans="1:12">
      <c r="F46" s="36">
        <f>Q14</f>
        <v>84585087.023503587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7"/>
  <sheetViews>
    <sheetView zoomScale="70" zoomScaleNormal="70" workbookViewId="0">
      <selection activeCell="E15" sqref="E15:G15"/>
    </sheetView>
  </sheetViews>
  <sheetFormatPr defaultColWidth="9.109375" defaultRowHeight="17.399999999999999"/>
  <cols>
    <col min="1" max="2" width="9.109375" style="99"/>
    <col min="3" max="3" width="17" style="99" customWidth="1"/>
    <col min="4" max="4" width="9.109375" style="99"/>
    <col min="5" max="5" width="9.5546875" style="99" customWidth="1"/>
    <col min="6" max="25" width="9.109375" style="99"/>
    <col min="26" max="26" width="1.44140625" style="99" customWidth="1"/>
    <col min="27" max="27" width="3.5546875" style="99" customWidth="1"/>
    <col min="28" max="28" width="19.88671875" style="99" customWidth="1"/>
    <col min="29" max="30" width="9.109375" style="99"/>
    <col min="31" max="31" width="15.33203125" style="99" customWidth="1"/>
    <col min="32" max="16384" width="9.109375" style="99"/>
  </cols>
  <sheetData>
    <row r="2" spans="2:31">
      <c r="S2" s="200" t="s">
        <v>194</v>
      </c>
      <c r="T2" s="200" t="s">
        <v>193</v>
      </c>
      <c r="U2" s="200"/>
      <c r="V2" s="200"/>
      <c r="W2" s="200"/>
      <c r="X2" s="200"/>
      <c r="Y2" s="200"/>
      <c r="Z2" s="200"/>
      <c r="AA2" s="200"/>
      <c r="AB2" s="103" t="s">
        <v>195</v>
      </c>
      <c r="AE2" s="99">
        <f>G9*25675000</f>
        <v>11456185</v>
      </c>
    </row>
    <row r="3" spans="2:31" ht="21">
      <c r="B3" s="188" t="s">
        <v>233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S3" s="200"/>
      <c r="T3" s="200"/>
      <c r="U3" s="200"/>
      <c r="V3" s="200"/>
      <c r="W3" s="200"/>
      <c r="X3" s="200"/>
      <c r="Y3" s="200"/>
      <c r="Z3" s="200"/>
      <c r="AA3" s="200"/>
      <c r="AB3" s="206" t="s">
        <v>198</v>
      </c>
    </row>
    <row r="4" spans="2:31" ht="21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S4" s="200"/>
      <c r="T4" s="200"/>
      <c r="U4" s="200"/>
      <c r="V4" s="200"/>
      <c r="W4" s="200"/>
      <c r="X4" s="200"/>
      <c r="Y4" s="200"/>
      <c r="Z4" s="200"/>
      <c r="AA4" s="200"/>
      <c r="AB4" s="207"/>
    </row>
    <row r="5" spans="2:31" ht="21">
      <c r="B5" s="104"/>
      <c r="C5" s="104"/>
      <c r="D5" s="104"/>
      <c r="E5" s="188" t="s">
        <v>198</v>
      </c>
      <c r="F5" s="188"/>
      <c r="G5" s="188"/>
      <c r="H5" s="188"/>
      <c r="I5" s="188"/>
      <c r="J5" s="188"/>
      <c r="K5" s="188"/>
      <c r="L5" s="188"/>
      <c r="M5" s="188"/>
      <c r="N5" s="188"/>
      <c r="O5" s="104"/>
      <c r="S5" s="200"/>
      <c r="T5" s="200"/>
      <c r="U5" s="200"/>
      <c r="V5" s="200"/>
      <c r="W5" s="200"/>
      <c r="X5" s="200"/>
      <c r="Y5" s="200"/>
      <c r="Z5" s="200"/>
      <c r="AA5" s="200"/>
      <c r="AB5" s="207"/>
    </row>
    <row r="6" spans="2:31">
      <c r="S6" s="200"/>
      <c r="T6" s="200"/>
      <c r="U6" s="200"/>
      <c r="V6" s="200"/>
      <c r="W6" s="200"/>
      <c r="X6" s="200"/>
      <c r="Y6" s="200"/>
      <c r="Z6" s="200"/>
      <c r="AA6" s="200"/>
      <c r="AB6" s="208"/>
    </row>
    <row r="7" spans="2:31" ht="21">
      <c r="B7" s="190" t="s">
        <v>224</v>
      </c>
      <c r="C7" s="190"/>
      <c r="D7" s="105" t="s">
        <v>188</v>
      </c>
      <c r="E7" s="213">
        <f>E9</f>
        <v>5.7586796494644597E-4</v>
      </c>
      <c r="F7" s="190"/>
      <c r="G7" s="190"/>
      <c r="H7" s="101"/>
      <c r="J7" s="190"/>
      <c r="K7" s="190"/>
      <c r="L7" s="190"/>
      <c r="M7" s="190"/>
      <c r="S7" s="206">
        <v>1</v>
      </c>
      <c r="T7" s="193" t="s">
        <v>138</v>
      </c>
      <c r="U7" s="201"/>
      <c r="V7" s="201"/>
      <c r="W7" s="201"/>
      <c r="X7" s="201"/>
      <c r="Y7" s="201"/>
      <c r="Z7" s="201"/>
      <c r="AA7" s="194"/>
      <c r="AB7" s="206">
        <f>430+117</f>
        <v>547</v>
      </c>
    </row>
    <row r="8" spans="2:31" ht="19.8">
      <c r="B8" s="100"/>
      <c r="C8" s="100"/>
      <c r="D8" s="100"/>
      <c r="E8" s="192" t="s">
        <v>232</v>
      </c>
      <c r="F8" s="192"/>
      <c r="G8" s="192" t="s">
        <v>218</v>
      </c>
      <c r="H8" s="192"/>
      <c r="J8" s="192"/>
      <c r="K8" s="192"/>
      <c r="L8" s="192"/>
      <c r="M8" s="192"/>
      <c r="S8" s="207"/>
      <c r="T8" s="195"/>
      <c r="U8" s="209"/>
      <c r="V8" s="209"/>
      <c r="W8" s="209"/>
      <c r="X8" s="209"/>
      <c r="Y8" s="209"/>
      <c r="Z8" s="209"/>
      <c r="AA8" s="196"/>
      <c r="AB8" s="207"/>
    </row>
    <row r="9" spans="2:31">
      <c r="B9" s="192" t="s">
        <v>216</v>
      </c>
      <c r="C9" s="192"/>
      <c r="D9" s="192" t="s">
        <v>188</v>
      </c>
      <c r="E9" s="212">
        <f>E15/51350000</f>
        <v>5.7586796494644597E-4</v>
      </c>
      <c r="F9" s="212"/>
      <c r="G9" s="192">
        <v>0.44619999999999999</v>
      </c>
      <c r="H9" s="192"/>
      <c r="J9" s="189"/>
      <c r="K9" s="189"/>
      <c r="L9" s="192"/>
      <c r="M9" s="192"/>
      <c r="S9" s="208"/>
      <c r="T9" s="197"/>
      <c r="U9" s="202"/>
      <c r="V9" s="202"/>
      <c r="W9" s="202"/>
      <c r="X9" s="202"/>
      <c r="Y9" s="202"/>
      <c r="Z9" s="202"/>
      <c r="AA9" s="198"/>
      <c r="AB9" s="208"/>
    </row>
    <row r="10" spans="2:31">
      <c r="B10" s="192" t="s">
        <v>219</v>
      </c>
      <c r="C10" s="192"/>
      <c r="D10" s="192"/>
      <c r="E10" s="212"/>
      <c r="F10" s="212"/>
      <c r="G10" s="192"/>
      <c r="H10" s="192"/>
      <c r="J10" s="189"/>
      <c r="K10" s="189"/>
      <c r="L10" s="192"/>
      <c r="M10" s="192"/>
      <c r="S10" s="206"/>
      <c r="T10" s="193"/>
      <c r="U10" s="201"/>
      <c r="V10" s="201"/>
      <c r="W10" s="201"/>
      <c r="X10" s="201"/>
      <c r="Y10" s="201"/>
      <c r="Z10" s="201"/>
      <c r="AA10" s="194"/>
      <c r="AB10" s="206"/>
    </row>
    <row r="11" spans="2:31">
      <c r="B11" s="100"/>
      <c r="C11" s="100"/>
      <c r="D11" s="100"/>
      <c r="S11" s="208"/>
      <c r="T11" s="197"/>
      <c r="U11" s="202"/>
      <c r="V11" s="202"/>
      <c r="W11" s="202"/>
      <c r="X11" s="202"/>
      <c r="Y11" s="202"/>
      <c r="Z11" s="202"/>
      <c r="AA11" s="198"/>
      <c r="AB11" s="208"/>
    </row>
    <row r="12" spans="2:31" ht="21">
      <c r="B12" s="190" t="s">
        <v>225</v>
      </c>
      <c r="C12" s="190"/>
      <c r="D12" s="105" t="s">
        <v>188</v>
      </c>
      <c r="E12" s="191">
        <f>(E15-AE2)/25675000</f>
        <v>-0.44504826407010711</v>
      </c>
      <c r="F12" s="191"/>
      <c r="G12" s="191"/>
      <c r="J12" s="191"/>
      <c r="K12" s="191"/>
      <c r="L12" s="191"/>
      <c r="M12" s="191"/>
      <c r="S12" s="103"/>
      <c r="T12" s="199"/>
      <c r="U12" s="199"/>
      <c r="V12" s="199"/>
      <c r="W12" s="199"/>
      <c r="X12" s="199"/>
      <c r="Y12" s="199"/>
      <c r="Z12" s="199"/>
      <c r="AA12" s="199"/>
      <c r="AB12" s="102"/>
    </row>
    <row r="13" spans="2:31">
      <c r="S13" s="103"/>
      <c r="T13" s="199"/>
      <c r="U13" s="199"/>
      <c r="V13" s="199"/>
      <c r="W13" s="199"/>
      <c r="X13" s="199"/>
      <c r="Y13" s="199"/>
      <c r="Z13" s="199"/>
      <c r="AA13" s="199"/>
      <c r="AB13" s="102"/>
    </row>
    <row r="14" spans="2:31">
      <c r="T14" s="192"/>
      <c r="U14" s="192"/>
      <c r="V14" s="192"/>
      <c r="W14" s="192"/>
      <c r="X14" s="192"/>
    </row>
    <row r="15" spans="2:31">
      <c r="B15" s="190" t="s">
        <v>226</v>
      </c>
      <c r="C15" s="190"/>
      <c r="D15" s="105" t="s">
        <v>188</v>
      </c>
      <c r="E15" s="187">
        <f>E18</f>
        <v>29570.82</v>
      </c>
      <c r="F15" s="187"/>
      <c r="G15" s="187"/>
      <c r="H15" s="106"/>
      <c r="I15" s="106"/>
      <c r="J15" s="187"/>
      <c r="K15" s="187"/>
      <c r="L15" s="187"/>
      <c r="M15" s="187"/>
    </row>
    <row r="16" spans="2:31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2:28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S17" s="192" t="s">
        <v>200</v>
      </c>
      <c r="T17" s="192"/>
      <c r="U17" s="192"/>
      <c r="V17" s="192"/>
      <c r="W17" s="192"/>
      <c r="X17" s="192"/>
      <c r="Y17" s="192"/>
      <c r="Z17" s="192"/>
      <c r="AA17" s="192"/>
      <c r="AB17" s="192"/>
    </row>
    <row r="18" spans="2:28">
      <c r="B18" s="190" t="s">
        <v>227</v>
      </c>
      <c r="C18" s="190"/>
      <c r="D18" s="105" t="s">
        <v>188</v>
      </c>
      <c r="E18" s="191">
        <f>(U21*1*AB7*1.06)</f>
        <v>29570.82</v>
      </c>
      <c r="F18" s="191"/>
      <c r="G18" s="191"/>
      <c r="H18" s="107"/>
      <c r="I18" s="107"/>
      <c r="J18" s="187"/>
      <c r="K18" s="187"/>
      <c r="L18" s="187"/>
      <c r="M18" s="187"/>
    </row>
    <row r="19" spans="2:28">
      <c r="S19" s="200" t="s">
        <v>201</v>
      </c>
      <c r="T19" s="200"/>
      <c r="U19" s="193" t="s">
        <v>138</v>
      </c>
      <c r="V19" s="194"/>
      <c r="W19" s="195"/>
      <c r="X19" s="209"/>
      <c r="Y19" s="209"/>
      <c r="Z19" s="209"/>
      <c r="AA19" s="209"/>
      <c r="AB19" s="209"/>
    </row>
    <row r="20" spans="2:28">
      <c r="S20" s="200"/>
      <c r="T20" s="200"/>
      <c r="U20" s="197"/>
      <c r="V20" s="198"/>
      <c r="W20" s="195"/>
      <c r="X20" s="209"/>
      <c r="Y20" s="209"/>
      <c r="Z20" s="209"/>
      <c r="AA20" s="209"/>
      <c r="AB20" s="209"/>
    </row>
    <row r="21" spans="2:28">
      <c r="B21" s="192"/>
      <c r="C21" s="192"/>
      <c r="D21" s="100"/>
      <c r="E21" s="205"/>
      <c r="F21" s="205"/>
      <c r="G21" s="205"/>
      <c r="J21" s="205"/>
      <c r="K21" s="192"/>
      <c r="L21" s="192"/>
      <c r="M21" s="192"/>
      <c r="S21" s="200" t="s">
        <v>205</v>
      </c>
      <c r="T21" s="200"/>
      <c r="U21" s="200">
        <v>51</v>
      </c>
      <c r="V21" s="200"/>
      <c r="W21" s="195"/>
      <c r="X21" s="209"/>
      <c r="Y21" s="209"/>
      <c r="Z21" s="209"/>
      <c r="AA21" s="209"/>
      <c r="AB21" s="111"/>
    </row>
    <row r="23" spans="2:28">
      <c r="B23" s="192"/>
      <c r="C23" s="192"/>
      <c r="D23" s="100"/>
      <c r="E23" s="205"/>
      <c r="F23" s="205"/>
      <c r="G23" s="205"/>
      <c r="J23" s="205"/>
      <c r="K23" s="192"/>
      <c r="L23" s="192"/>
      <c r="M23" s="192"/>
    </row>
    <row r="26" spans="2:28">
      <c r="B26" s="192"/>
      <c r="C26" s="192"/>
      <c r="D26" s="100"/>
      <c r="E26" s="205"/>
      <c r="F26" s="205"/>
      <c r="G26" s="205"/>
      <c r="J26" s="205"/>
      <c r="K26" s="192"/>
      <c r="L26" s="192"/>
      <c r="M26" s="192"/>
    </row>
    <row r="28" spans="2:28">
      <c r="B28" s="192"/>
      <c r="C28" s="192"/>
      <c r="D28" s="100"/>
    </row>
    <row r="31" spans="2:28">
      <c r="B31" s="192"/>
      <c r="C31" s="192"/>
      <c r="D31" s="100"/>
    </row>
    <row r="34" spans="2:13">
      <c r="B34" s="192"/>
      <c r="C34" s="192"/>
      <c r="D34" s="100"/>
      <c r="E34" s="205"/>
      <c r="F34" s="205"/>
      <c r="G34" s="205"/>
      <c r="J34" s="205"/>
      <c r="K34" s="192"/>
      <c r="L34" s="192"/>
      <c r="M34" s="192"/>
    </row>
    <row r="36" spans="2:13">
      <c r="B36" s="192"/>
      <c r="C36" s="192"/>
      <c r="D36" s="192"/>
      <c r="E36" s="210"/>
      <c r="F36" s="210"/>
      <c r="G36" s="210"/>
      <c r="J36" s="189"/>
      <c r="K36" s="189"/>
      <c r="L36" s="189"/>
    </row>
    <row r="37" spans="2:13">
      <c r="B37" s="192"/>
      <c r="C37" s="192"/>
      <c r="D37" s="192"/>
      <c r="E37" s="210"/>
      <c r="F37" s="210"/>
      <c r="G37" s="210"/>
      <c r="J37" s="189"/>
      <c r="K37" s="189"/>
      <c r="L37" s="189"/>
    </row>
  </sheetData>
  <mergeCells count="68">
    <mergeCell ref="AB3:AB6"/>
    <mergeCell ref="B28:C28"/>
    <mergeCell ref="B31:C31"/>
    <mergeCell ref="B34:C34"/>
    <mergeCell ref="E34:G34"/>
    <mergeCell ref="J34:M34"/>
    <mergeCell ref="Y21:AA21"/>
    <mergeCell ref="B23:C23"/>
    <mergeCell ref="E23:G23"/>
    <mergeCell ref="J23:M23"/>
    <mergeCell ref="B26:C26"/>
    <mergeCell ref="E26:G26"/>
    <mergeCell ref="J26:M26"/>
    <mergeCell ref="B21:C21"/>
    <mergeCell ref="E21:G21"/>
    <mergeCell ref="J21:M21"/>
    <mergeCell ref="B36:C36"/>
    <mergeCell ref="D36:D37"/>
    <mergeCell ref="E36:G37"/>
    <mergeCell ref="J36:L37"/>
    <mergeCell ref="B37:C37"/>
    <mergeCell ref="S21:T21"/>
    <mergeCell ref="U21:V21"/>
    <mergeCell ref="W21:X21"/>
    <mergeCell ref="S17:AB17"/>
    <mergeCell ref="B18:C18"/>
    <mergeCell ref="E18:G18"/>
    <mergeCell ref="J18:M18"/>
    <mergeCell ref="S19:T20"/>
    <mergeCell ref="U19:V20"/>
    <mergeCell ref="W19:X19"/>
    <mergeCell ref="Y19:AA20"/>
    <mergeCell ref="AB19:AB20"/>
    <mergeCell ref="W20:X20"/>
    <mergeCell ref="T13:AA13"/>
    <mergeCell ref="T14:X14"/>
    <mergeCell ref="B15:C15"/>
    <mergeCell ref="E15:G15"/>
    <mergeCell ref="J15:M15"/>
    <mergeCell ref="AB7:AB9"/>
    <mergeCell ref="L9:M10"/>
    <mergeCell ref="B10:C10"/>
    <mergeCell ref="S10:S11"/>
    <mergeCell ref="T10:AA11"/>
    <mergeCell ref="B7:C7"/>
    <mergeCell ref="E7:G7"/>
    <mergeCell ref="J7:M7"/>
    <mergeCell ref="AB10:AB11"/>
    <mergeCell ref="B12:C12"/>
    <mergeCell ref="E12:G12"/>
    <mergeCell ref="J12:M12"/>
    <mergeCell ref="T12:AA12"/>
    <mergeCell ref="B9:C9"/>
    <mergeCell ref="D9:D10"/>
    <mergeCell ref="S7:S9"/>
    <mergeCell ref="T7:AA9"/>
    <mergeCell ref="E8:F8"/>
    <mergeCell ref="G8:H8"/>
    <mergeCell ref="J8:K8"/>
    <mergeCell ref="L8:M8"/>
    <mergeCell ref="E9:F10"/>
    <mergeCell ref="G9:H10"/>
    <mergeCell ref="J9:K10"/>
    <mergeCell ref="S2:S6"/>
    <mergeCell ref="T2:AA6"/>
    <mergeCell ref="B3:O3"/>
    <mergeCell ref="E5:I5"/>
    <mergeCell ref="J5:N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tabSelected="1"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23" sqref="C23:G23"/>
    </sheetView>
  </sheetViews>
  <sheetFormatPr defaultColWidth="9.109375" defaultRowHeight="13.8"/>
  <cols>
    <col min="1" max="1" width="9.109375" style="134"/>
    <col min="2" max="2" width="38" style="134" customWidth="1"/>
    <col min="3" max="3" width="17.33203125" style="134" customWidth="1"/>
    <col min="4" max="4" width="14.6640625" style="134" customWidth="1"/>
    <col min="5" max="5" width="16.44140625" style="134" customWidth="1"/>
    <col min="6" max="6" width="16" style="134" customWidth="1"/>
    <col min="7" max="7" width="15.33203125" style="134" customWidth="1"/>
    <col min="8" max="8" width="13" style="134" customWidth="1"/>
    <col min="9" max="9" width="12.6640625" style="134" customWidth="1"/>
    <col min="10" max="10" width="15.109375" style="134" customWidth="1"/>
    <col min="11" max="11" width="12.5546875" style="134" customWidth="1"/>
    <col min="12" max="12" width="15.33203125" style="134" customWidth="1"/>
    <col min="13" max="13" width="14.109375" style="134" customWidth="1"/>
    <col min="14" max="14" width="15.5546875" style="134" customWidth="1"/>
    <col min="15" max="15" width="17.33203125" style="134" customWidth="1"/>
    <col min="16" max="16384" width="9.109375" style="134"/>
  </cols>
  <sheetData>
    <row r="2" spans="1:15">
      <c r="C2" s="253" t="s">
        <v>314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5">
      <c r="C3" s="135"/>
      <c r="D3" s="254" t="s">
        <v>316</v>
      </c>
      <c r="E3" s="254"/>
      <c r="F3" s="254"/>
      <c r="G3" s="254"/>
      <c r="H3" s="254"/>
      <c r="I3" s="254"/>
      <c r="J3" s="254"/>
      <c r="K3" s="254"/>
      <c r="L3" s="254"/>
      <c r="M3" s="135"/>
      <c r="N3" s="135"/>
    </row>
    <row r="4" spans="1:15">
      <c r="C4" s="136"/>
      <c r="D4" s="255" t="s">
        <v>241</v>
      </c>
      <c r="E4" s="255"/>
      <c r="F4" s="255"/>
      <c r="G4" s="255"/>
      <c r="H4" s="255"/>
      <c r="I4" s="255"/>
      <c r="J4" s="255"/>
      <c r="K4" s="255"/>
      <c r="L4" s="255"/>
      <c r="M4" s="136"/>
      <c r="N4" s="136"/>
    </row>
    <row r="5" spans="1:15">
      <c r="C5" s="136"/>
      <c r="D5" s="135"/>
      <c r="E5" s="135"/>
      <c r="G5" s="137" t="s">
        <v>242</v>
      </c>
      <c r="H5" s="136">
        <v>2018</v>
      </c>
      <c r="I5" s="136" t="s">
        <v>240</v>
      </c>
      <c r="J5" s="135"/>
      <c r="K5" s="135"/>
      <c r="L5" s="135"/>
      <c r="M5" s="136"/>
      <c r="N5" s="136"/>
    </row>
    <row r="6" spans="1:15">
      <c r="C6" s="136"/>
      <c r="D6" s="135"/>
      <c r="E6" s="135"/>
      <c r="F6" s="137"/>
      <c r="G6" s="136"/>
      <c r="H6" s="136"/>
      <c r="I6" s="138"/>
      <c r="J6" s="135"/>
      <c r="K6" s="135"/>
      <c r="L6" s="135"/>
      <c r="M6" s="136"/>
      <c r="N6" s="136"/>
    </row>
    <row r="7" spans="1:15" ht="15.75" customHeight="1">
      <c r="A7" s="256" t="s">
        <v>239</v>
      </c>
      <c r="B7" s="256" t="s">
        <v>238</v>
      </c>
      <c r="C7" s="259" t="s">
        <v>243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60" t="s">
        <v>244</v>
      </c>
    </row>
    <row r="8" spans="1:15">
      <c r="A8" s="257"/>
      <c r="B8" s="257"/>
      <c r="C8" s="259" t="s">
        <v>245</v>
      </c>
      <c r="D8" s="259"/>
      <c r="E8" s="259"/>
      <c r="F8" s="259"/>
      <c r="G8" s="259"/>
      <c r="H8" s="121"/>
      <c r="I8" s="259" t="s">
        <v>235</v>
      </c>
      <c r="J8" s="259"/>
      <c r="K8" s="259"/>
      <c r="L8" s="259"/>
      <c r="M8" s="228" t="s">
        <v>237</v>
      </c>
      <c r="N8" s="260"/>
    </row>
    <row r="9" spans="1:15" ht="64.2" customHeight="1">
      <c r="A9" s="258"/>
      <c r="B9" s="258"/>
      <c r="C9" s="115" t="s">
        <v>246</v>
      </c>
      <c r="D9" s="115" t="s">
        <v>247</v>
      </c>
      <c r="E9" s="115" t="s">
        <v>248</v>
      </c>
      <c r="F9" s="115" t="s">
        <v>249</v>
      </c>
      <c r="G9" s="116" t="s">
        <v>250</v>
      </c>
      <c r="H9" s="116" t="s">
        <v>134</v>
      </c>
      <c r="I9" s="115" t="s">
        <v>251</v>
      </c>
      <c r="J9" s="115" t="s">
        <v>136</v>
      </c>
      <c r="K9" s="115" t="s">
        <v>315</v>
      </c>
      <c r="L9" s="115" t="s">
        <v>252</v>
      </c>
      <c r="M9" s="228"/>
      <c r="N9" s="260"/>
      <c r="O9" s="148"/>
    </row>
    <row r="10" spans="1:15" ht="15" customHeight="1">
      <c r="A10" s="113">
        <v>1</v>
      </c>
      <c r="B10" s="113">
        <v>2</v>
      </c>
      <c r="C10" s="115">
        <v>3</v>
      </c>
      <c r="D10" s="115">
        <v>4</v>
      </c>
      <c r="E10" s="115">
        <v>5</v>
      </c>
      <c r="F10" s="115">
        <v>6</v>
      </c>
      <c r="G10" s="116">
        <v>7</v>
      </c>
      <c r="H10" s="116"/>
      <c r="I10" s="115">
        <v>8</v>
      </c>
      <c r="J10" s="115">
        <v>9</v>
      </c>
      <c r="K10" s="115">
        <v>10</v>
      </c>
      <c r="L10" s="115">
        <v>11</v>
      </c>
      <c r="M10" s="115">
        <v>12</v>
      </c>
      <c r="N10" s="117">
        <v>13</v>
      </c>
      <c r="O10" s="148"/>
    </row>
    <row r="11" spans="1:15" ht="31.5" customHeight="1">
      <c r="A11" s="113" t="s">
        <v>253</v>
      </c>
      <c r="B11" s="140" t="s">
        <v>312</v>
      </c>
      <c r="C11" s="155">
        <v>3515237.6973252194</v>
      </c>
      <c r="D11" s="155">
        <v>175500858.84206858</v>
      </c>
      <c r="E11" s="155">
        <v>15758579.597159721</v>
      </c>
      <c r="F11" s="155">
        <v>2950323.8634464699</v>
      </c>
      <c r="G11" s="155">
        <v>197725000</v>
      </c>
      <c r="H11" s="243">
        <v>229712351.58514613</v>
      </c>
      <c r="I11" s="244"/>
      <c r="J11" s="155">
        <v>46468848.414853886</v>
      </c>
      <c r="K11" s="160">
        <v>0</v>
      </c>
      <c r="L11" s="155">
        <v>276181200</v>
      </c>
      <c r="M11" s="155">
        <v>52293700</v>
      </c>
      <c r="N11" s="156">
        <v>526199900</v>
      </c>
    </row>
    <row r="12" spans="1:15" ht="15" customHeight="1">
      <c r="A12" s="141"/>
      <c r="B12" s="112" t="s">
        <v>254</v>
      </c>
      <c r="C12" s="157">
        <v>1779138.7497025076</v>
      </c>
      <c r="D12" s="157">
        <v>88381429.532769918</v>
      </c>
      <c r="E12" s="157">
        <v>7763468.9694100637</v>
      </c>
      <c r="F12" s="157">
        <v>1513962.7481175063</v>
      </c>
      <c r="G12" s="158">
        <v>99438000</v>
      </c>
      <c r="H12" s="158">
        <v>76466091.308954924</v>
      </c>
      <c r="I12" s="157">
        <v>35166181.664589569</v>
      </c>
      <c r="J12" s="157">
        <v>21881127.026455522</v>
      </c>
      <c r="K12" s="163">
        <v>0</v>
      </c>
      <c r="L12" s="157">
        <v>133513400.00000001</v>
      </c>
      <c r="M12" s="157">
        <v>24136100</v>
      </c>
      <c r="N12" s="159">
        <v>257087500</v>
      </c>
    </row>
    <row r="13" spans="1:15" ht="15" customHeight="1">
      <c r="A13" s="141"/>
      <c r="B13" s="112" t="s">
        <v>255</v>
      </c>
      <c r="C13" s="157">
        <v>1736098.9476227118</v>
      </c>
      <c r="D13" s="157">
        <v>87119429.309298664</v>
      </c>
      <c r="E13" s="157">
        <v>7995110.6277496582</v>
      </c>
      <c r="F13" s="157">
        <v>1436361.1153289636</v>
      </c>
      <c r="G13" s="158">
        <v>98287000</v>
      </c>
      <c r="H13" s="245">
        <v>118080078.61160162</v>
      </c>
      <c r="I13" s="246"/>
      <c r="J13" s="157">
        <v>24587721.388398368</v>
      </c>
      <c r="K13" s="163">
        <v>0</v>
      </c>
      <c r="L13" s="157">
        <v>142667800</v>
      </c>
      <c r="M13" s="157">
        <v>28157600</v>
      </c>
      <c r="N13" s="159">
        <v>269112400</v>
      </c>
    </row>
    <row r="14" spans="1:15" ht="15" customHeight="1">
      <c r="A14" s="113" t="s">
        <v>256</v>
      </c>
      <c r="B14" s="114" t="s">
        <v>257</v>
      </c>
      <c r="C14" s="160">
        <v>0.5021768139036028</v>
      </c>
      <c r="D14" s="160">
        <v>25.071551263152656</v>
      </c>
      <c r="E14" s="160">
        <v>2.2512256567371036</v>
      </c>
      <c r="F14" s="160">
        <v>0.42147483763520999</v>
      </c>
      <c r="G14" s="160">
        <v>28.246428571428574</v>
      </c>
      <c r="H14" s="247"/>
      <c r="I14" s="248"/>
      <c r="J14" s="161"/>
      <c r="K14" s="160"/>
      <c r="L14" s="161"/>
      <c r="M14" s="161"/>
      <c r="N14" s="162"/>
    </row>
    <row r="15" spans="1:15" ht="15" customHeight="1">
      <c r="A15" s="141"/>
      <c r="B15" s="112" t="s">
        <v>254</v>
      </c>
      <c r="C15" s="163">
        <v>0.50832535705785931</v>
      </c>
      <c r="D15" s="163">
        <v>25.251837009362834</v>
      </c>
      <c r="E15" s="163">
        <v>2.2181339912600184</v>
      </c>
      <c r="F15" s="163">
        <v>0.43256078517643037</v>
      </c>
      <c r="G15" s="164">
        <v>28.410857142857143</v>
      </c>
      <c r="H15" s="165"/>
      <c r="I15" s="166"/>
      <c r="J15" s="166"/>
      <c r="K15" s="163"/>
      <c r="L15" s="166"/>
      <c r="M15" s="166"/>
      <c r="N15" s="146"/>
    </row>
    <row r="16" spans="1:15" ht="15" customHeight="1">
      <c r="A16" s="141"/>
      <c r="B16" s="112" t="s">
        <v>255</v>
      </c>
      <c r="C16" s="163">
        <v>0.49602827074934625</v>
      </c>
      <c r="D16" s="163">
        <v>24.891265516942475</v>
      </c>
      <c r="E16" s="163">
        <v>2.2843173222141884</v>
      </c>
      <c r="F16" s="163">
        <v>0.41038889009398966</v>
      </c>
      <c r="G16" s="164">
        <v>28.082000000000001</v>
      </c>
      <c r="H16" s="249"/>
      <c r="I16" s="250"/>
      <c r="J16" s="166"/>
      <c r="K16" s="163"/>
      <c r="L16" s="166"/>
      <c r="M16" s="166"/>
      <c r="N16" s="146"/>
    </row>
    <row r="17" spans="1:15">
      <c r="A17" s="121" t="s">
        <v>258</v>
      </c>
      <c r="B17" s="142" t="s">
        <v>259</v>
      </c>
      <c r="C17" s="167">
        <v>2113</v>
      </c>
      <c r="D17" s="167">
        <v>122377</v>
      </c>
      <c r="E17" s="167">
        <v>206</v>
      </c>
      <c r="F17" s="167">
        <v>144</v>
      </c>
      <c r="G17" s="156">
        <v>124840</v>
      </c>
      <c r="H17" s="251">
        <v>10908</v>
      </c>
      <c r="I17" s="252"/>
      <c r="J17" s="167">
        <v>43</v>
      </c>
      <c r="K17" s="177">
        <v>0</v>
      </c>
      <c r="L17" s="167">
        <v>10951</v>
      </c>
      <c r="M17" s="167">
        <v>126</v>
      </c>
      <c r="N17" s="156">
        <v>135917</v>
      </c>
    </row>
    <row r="18" spans="1:15">
      <c r="A18" s="122" t="s">
        <v>260</v>
      </c>
      <c r="B18" s="118" t="s">
        <v>261</v>
      </c>
      <c r="C18" s="218">
        <v>16406.599999999999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20"/>
    </row>
    <row r="19" spans="1:15">
      <c r="A19" s="122" t="s">
        <v>262</v>
      </c>
      <c r="B19" s="119" t="s">
        <v>263</v>
      </c>
      <c r="C19" s="233" t="s">
        <v>311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24"/>
      <c r="O19" s="149"/>
    </row>
    <row r="20" spans="1:15" ht="27.6">
      <c r="A20" s="121" t="s">
        <v>264</v>
      </c>
      <c r="B20" s="123" t="s">
        <v>265</v>
      </c>
      <c r="C20" s="169">
        <v>1805691.91697526</v>
      </c>
      <c r="D20" s="169">
        <v>76901349.568075538</v>
      </c>
      <c r="E20" s="169">
        <v>2534442.0819829796</v>
      </c>
      <c r="F20" s="169">
        <v>2300390.6259643203</v>
      </c>
      <c r="G20" s="169">
        <v>83541874.192998096</v>
      </c>
      <c r="H20" s="223">
        <v>162810233.78671977</v>
      </c>
      <c r="I20" s="224"/>
      <c r="J20" s="169">
        <v>600388.78848854988</v>
      </c>
      <c r="K20" s="169">
        <v>0</v>
      </c>
      <c r="L20" s="169">
        <v>163410622.57520831</v>
      </c>
      <c r="M20" s="169">
        <v>1930258.9594512</v>
      </c>
      <c r="N20" s="169">
        <v>248882755.72765762</v>
      </c>
      <c r="O20" s="148"/>
    </row>
    <row r="21" spans="1:15" ht="27.6">
      <c r="A21" s="121" t="s">
        <v>266</v>
      </c>
      <c r="B21" s="123" t="s">
        <v>267</v>
      </c>
      <c r="C21" s="223">
        <v>17684555.356345478</v>
      </c>
      <c r="D21" s="238"/>
      <c r="E21" s="238"/>
      <c r="F21" s="238"/>
      <c r="G21" s="239"/>
      <c r="H21" s="223">
        <v>41621701.780519113</v>
      </c>
      <c r="I21" s="239"/>
      <c r="J21" s="169">
        <v>13287003.821880437</v>
      </c>
      <c r="K21" s="169">
        <v>0</v>
      </c>
      <c r="L21" s="169">
        <v>48176195.60239955</v>
      </c>
      <c r="M21" s="169">
        <v>3216093.1728661959</v>
      </c>
      <c r="N21" s="169">
        <v>69076844.131611228</v>
      </c>
      <c r="O21" s="149"/>
    </row>
    <row r="22" spans="1:15" ht="27.6">
      <c r="A22" s="122" t="s">
        <v>268</v>
      </c>
      <c r="B22" s="120" t="s">
        <v>269</v>
      </c>
      <c r="C22" s="229">
        <v>7068855.3563454812</v>
      </c>
      <c r="D22" s="230"/>
      <c r="E22" s="230"/>
      <c r="F22" s="230"/>
      <c r="G22" s="231"/>
      <c r="H22" s="229">
        <v>16040967.377695022</v>
      </c>
      <c r="I22" s="231"/>
      <c r="J22" s="170">
        <v>3064966.3503918182</v>
      </c>
      <c r="K22" s="170">
        <v>0</v>
      </c>
      <c r="L22" s="170">
        <v>19105933.72808684</v>
      </c>
      <c r="M22" s="170">
        <v>1312097.5176661958</v>
      </c>
      <c r="N22" s="170">
        <v>27486886.602098517</v>
      </c>
      <c r="O22" s="151"/>
    </row>
    <row r="23" spans="1:15" ht="55.2">
      <c r="A23" s="122" t="s">
        <v>270</v>
      </c>
      <c r="B23" s="120" t="s">
        <v>271</v>
      </c>
      <c r="C23" s="240" t="s">
        <v>313</v>
      </c>
      <c r="D23" s="241"/>
      <c r="E23" s="241"/>
      <c r="F23" s="241"/>
      <c r="G23" s="242"/>
      <c r="H23" s="240" t="s">
        <v>313</v>
      </c>
      <c r="I23" s="242"/>
      <c r="J23" s="147" t="s">
        <v>313</v>
      </c>
      <c r="K23" s="147" t="s">
        <v>313</v>
      </c>
      <c r="L23" s="145" t="s">
        <v>272</v>
      </c>
      <c r="M23" s="147" t="s">
        <v>313</v>
      </c>
      <c r="N23" s="145" t="s">
        <v>272</v>
      </c>
      <c r="O23" s="152"/>
    </row>
    <row r="24" spans="1:15" ht="27.6">
      <c r="A24" s="122" t="s">
        <v>273</v>
      </c>
      <c r="B24" s="120" t="s">
        <v>274</v>
      </c>
      <c r="C24" s="229">
        <v>8286469.9999999991</v>
      </c>
      <c r="D24" s="230"/>
      <c r="E24" s="230"/>
      <c r="F24" s="230"/>
      <c r="G24" s="231"/>
      <c r="H24" s="229">
        <v>18848224.402824089</v>
      </c>
      <c r="I24" s="231"/>
      <c r="J24" s="170">
        <v>3489527.4714886202</v>
      </c>
      <c r="K24" s="170">
        <v>0</v>
      </c>
      <c r="L24" s="170">
        <v>22337751.87431271</v>
      </c>
      <c r="M24" s="170">
        <v>1903995.6552000002</v>
      </c>
      <c r="N24" s="170">
        <v>32528217.529512711</v>
      </c>
      <c r="O24" s="151"/>
    </row>
    <row r="25" spans="1:15" ht="27.6">
      <c r="A25" s="122" t="s">
        <v>275</v>
      </c>
      <c r="B25" s="120" t="s">
        <v>276</v>
      </c>
      <c r="C25" s="229">
        <v>2329229.9999999995</v>
      </c>
      <c r="D25" s="230"/>
      <c r="E25" s="230"/>
      <c r="F25" s="230"/>
      <c r="G25" s="231"/>
      <c r="H25" s="229">
        <v>6732509.9999999991</v>
      </c>
      <c r="I25" s="230"/>
      <c r="J25" s="230"/>
      <c r="K25" s="230"/>
      <c r="L25" s="231"/>
      <c r="M25" s="170">
        <v>0</v>
      </c>
      <c r="N25" s="170">
        <v>9061739.9999999981</v>
      </c>
      <c r="O25" s="148"/>
    </row>
    <row r="26" spans="1:15" s="143" customFormat="1" ht="27.6">
      <c r="A26" s="121" t="s">
        <v>277</v>
      </c>
      <c r="B26" s="123" t="s">
        <v>278</v>
      </c>
      <c r="C26" s="223">
        <v>10855206.866253965</v>
      </c>
      <c r="D26" s="238"/>
      <c r="E26" s="238"/>
      <c r="F26" s="238"/>
      <c r="G26" s="239"/>
      <c r="H26" s="223">
        <v>5364786.8110557226</v>
      </c>
      <c r="I26" s="224"/>
      <c r="J26" s="169">
        <v>1040674.7243694201</v>
      </c>
      <c r="K26" s="169">
        <v>0</v>
      </c>
      <c r="L26" s="169">
        <v>6405461.5354251433</v>
      </c>
      <c r="M26" s="169">
        <v>73200.874270364046</v>
      </c>
      <c r="N26" s="169">
        <v>17333869.275949471</v>
      </c>
      <c r="O26" s="150"/>
    </row>
    <row r="27" spans="1:15" ht="70.2" customHeight="1">
      <c r="A27" s="122" t="s">
        <v>279</v>
      </c>
      <c r="B27" s="120" t="s">
        <v>280</v>
      </c>
      <c r="C27" s="229">
        <v>10576054.956253964</v>
      </c>
      <c r="D27" s="230"/>
      <c r="E27" s="230"/>
      <c r="F27" s="230"/>
      <c r="G27" s="231"/>
      <c r="H27" s="229">
        <v>880005.81321089552</v>
      </c>
      <c r="I27" s="231"/>
      <c r="J27" s="170">
        <v>170705.72221424736</v>
      </c>
      <c r="K27" s="170">
        <v>0</v>
      </c>
      <c r="L27" s="170">
        <v>1050711.5354251429</v>
      </c>
      <c r="M27" s="170">
        <v>73200.874270364046</v>
      </c>
      <c r="N27" s="170">
        <v>11699967.365949472</v>
      </c>
      <c r="O27" s="148"/>
    </row>
    <row r="28" spans="1:15">
      <c r="A28" s="122" t="s">
        <v>281</v>
      </c>
      <c r="B28" s="119" t="s">
        <v>282</v>
      </c>
      <c r="C28" s="229">
        <v>279151.90999999997</v>
      </c>
      <c r="D28" s="230"/>
      <c r="E28" s="230"/>
      <c r="F28" s="230"/>
      <c r="G28" s="231"/>
      <c r="H28" s="229">
        <v>4484780.9978448274</v>
      </c>
      <c r="I28" s="231"/>
      <c r="J28" s="170">
        <v>869969.00215517276</v>
      </c>
      <c r="K28" s="170">
        <v>0</v>
      </c>
      <c r="L28" s="170">
        <v>5354750</v>
      </c>
      <c r="M28" s="170">
        <v>0</v>
      </c>
      <c r="N28" s="170">
        <v>5633901.9100000001</v>
      </c>
      <c r="O28" s="148"/>
    </row>
    <row r="29" spans="1:15" ht="55.2">
      <c r="A29" s="122" t="s">
        <v>283</v>
      </c>
      <c r="B29" s="120" t="s">
        <v>284</v>
      </c>
      <c r="C29" s="235">
        <v>0</v>
      </c>
      <c r="D29" s="236"/>
      <c r="E29" s="236"/>
      <c r="F29" s="236"/>
      <c r="G29" s="237"/>
      <c r="H29" s="235">
        <v>0</v>
      </c>
      <c r="I29" s="237"/>
      <c r="J29" s="172">
        <v>0</v>
      </c>
      <c r="K29" s="172">
        <v>0</v>
      </c>
      <c r="L29" s="172">
        <v>0</v>
      </c>
      <c r="M29" s="172">
        <v>0</v>
      </c>
      <c r="N29" s="172">
        <v>0</v>
      </c>
    </row>
    <row r="30" spans="1:15" ht="41.4">
      <c r="A30" s="122" t="s">
        <v>285</v>
      </c>
      <c r="B30" s="120" t="s">
        <v>286</v>
      </c>
      <c r="C30" s="233" t="s">
        <v>272</v>
      </c>
      <c r="D30" s="234"/>
      <c r="E30" s="234"/>
      <c r="F30" s="234"/>
      <c r="G30" s="224"/>
      <c r="H30" s="233" t="s">
        <v>272</v>
      </c>
      <c r="I30" s="224"/>
      <c r="J30" s="168" t="s">
        <v>272</v>
      </c>
      <c r="K30" s="168" t="s">
        <v>272</v>
      </c>
      <c r="L30" s="168" t="s">
        <v>272</v>
      </c>
      <c r="M30" s="172">
        <v>0</v>
      </c>
      <c r="N30" s="168" t="s">
        <v>272</v>
      </c>
    </row>
    <row r="31" spans="1:15" ht="95.4" customHeight="1">
      <c r="A31" s="121" t="s">
        <v>287</v>
      </c>
      <c r="B31" s="123" t="s">
        <v>288</v>
      </c>
      <c r="C31" s="223">
        <v>3724014.9580000001</v>
      </c>
      <c r="D31" s="238"/>
      <c r="E31" s="238"/>
      <c r="F31" s="238"/>
      <c r="G31" s="239"/>
      <c r="H31" s="223"/>
      <c r="I31" s="239"/>
      <c r="J31" s="174"/>
      <c r="K31" s="173"/>
      <c r="L31" s="169">
        <v>-11538534.129656782</v>
      </c>
      <c r="M31" s="169">
        <v>-5443292.9366719704</v>
      </c>
      <c r="N31" s="169">
        <v>-13257812.108328752</v>
      </c>
      <c r="O31" s="150"/>
    </row>
    <row r="32" spans="1:15" ht="56.4" customHeight="1">
      <c r="A32" s="122" t="s">
        <v>289</v>
      </c>
      <c r="B32" s="120" t="s">
        <v>290</v>
      </c>
      <c r="C32" s="229">
        <v>3587381.93</v>
      </c>
      <c r="D32" s="230"/>
      <c r="E32" s="230"/>
      <c r="F32" s="230"/>
      <c r="G32" s="231"/>
      <c r="H32" s="233" t="s">
        <v>272</v>
      </c>
      <c r="I32" s="224"/>
      <c r="J32" s="168" t="s">
        <v>272</v>
      </c>
      <c r="K32" s="168" t="s">
        <v>272</v>
      </c>
      <c r="L32" s="170">
        <v>-1453370.1700000013</v>
      </c>
      <c r="M32" s="170">
        <v>0</v>
      </c>
      <c r="N32" s="170">
        <v>2134011.7599999988</v>
      </c>
    </row>
    <row r="33" spans="1:15" s="154" customFormat="1" ht="27" customHeight="1">
      <c r="A33" s="153"/>
      <c r="B33" s="120" t="s">
        <v>291</v>
      </c>
      <c r="C33" s="229">
        <v>3635910.02</v>
      </c>
      <c r="D33" s="230"/>
      <c r="E33" s="230"/>
      <c r="F33" s="230"/>
      <c r="G33" s="231"/>
      <c r="H33" s="233" t="s">
        <v>272</v>
      </c>
      <c r="I33" s="224"/>
      <c r="J33" s="168" t="s">
        <v>272</v>
      </c>
      <c r="K33" s="168" t="s">
        <v>272</v>
      </c>
      <c r="L33" s="170">
        <v>-5411424.2600000016</v>
      </c>
      <c r="M33" s="170">
        <v>0</v>
      </c>
      <c r="N33" s="170">
        <v>-1775514.2400000016</v>
      </c>
    </row>
    <row r="34" spans="1:15" s="154" customFormat="1" ht="16.5" customHeight="1">
      <c r="A34" s="153"/>
      <c r="B34" s="120" t="s">
        <v>282</v>
      </c>
      <c r="C34" s="229">
        <v>-48528.090000000018</v>
      </c>
      <c r="D34" s="230"/>
      <c r="E34" s="230"/>
      <c r="F34" s="230"/>
      <c r="G34" s="231"/>
      <c r="H34" s="233" t="s">
        <v>272</v>
      </c>
      <c r="I34" s="224"/>
      <c r="J34" s="168" t="s">
        <v>272</v>
      </c>
      <c r="K34" s="168" t="s">
        <v>272</v>
      </c>
      <c r="L34" s="170">
        <v>3958054.0900000003</v>
      </c>
      <c r="M34" s="170">
        <v>0</v>
      </c>
      <c r="N34" s="170">
        <v>3909526.0000000005</v>
      </c>
    </row>
    <row r="35" spans="1:15" ht="16.5" customHeight="1">
      <c r="A35" s="139"/>
      <c r="B35" s="120" t="s">
        <v>292</v>
      </c>
      <c r="C35" s="235">
        <v>0</v>
      </c>
      <c r="D35" s="236"/>
      <c r="E35" s="236"/>
      <c r="F35" s="236"/>
      <c r="G35" s="237"/>
      <c r="H35" s="233" t="s">
        <v>272</v>
      </c>
      <c r="I35" s="224"/>
      <c r="J35" s="168" t="s">
        <v>272</v>
      </c>
      <c r="K35" s="168" t="s">
        <v>272</v>
      </c>
      <c r="L35" s="170">
        <v>0</v>
      </c>
      <c r="M35" s="170">
        <v>0</v>
      </c>
      <c r="N35" s="170">
        <v>0</v>
      </c>
    </row>
    <row r="36" spans="1:15" ht="42.6" customHeight="1">
      <c r="A36" s="139"/>
      <c r="B36" s="120" t="s">
        <v>286</v>
      </c>
      <c r="C36" s="214" t="s">
        <v>272</v>
      </c>
      <c r="D36" s="232"/>
      <c r="E36" s="232"/>
      <c r="F36" s="232"/>
      <c r="G36" s="215"/>
      <c r="H36" s="233" t="s">
        <v>272</v>
      </c>
      <c r="I36" s="224"/>
      <c r="J36" s="168" t="s">
        <v>272</v>
      </c>
      <c r="K36" s="168" t="s">
        <v>272</v>
      </c>
      <c r="L36" s="168" t="s">
        <v>272</v>
      </c>
      <c r="M36" s="172">
        <v>0</v>
      </c>
      <c r="N36" s="172">
        <v>0</v>
      </c>
    </row>
    <row r="37" spans="1:15" ht="156.6" customHeight="1">
      <c r="A37" s="122" t="s">
        <v>293</v>
      </c>
      <c r="B37" s="120" t="s">
        <v>294</v>
      </c>
      <c r="C37" s="235">
        <v>0</v>
      </c>
      <c r="D37" s="236"/>
      <c r="E37" s="236"/>
      <c r="F37" s="236"/>
      <c r="G37" s="237"/>
      <c r="H37" s="235">
        <v>0</v>
      </c>
      <c r="I37" s="237"/>
      <c r="J37" s="172">
        <v>0</v>
      </c>
      <c r="K37" s="172">
        <v>0</v>
      </c>
      <c r="L37" s="172">
        <v>0</v>
      </c>
      <c r="M37" s="172">
        <v>0</v>
      </c>
      <c r="N37" s="172">
        <v>0</v>
      </c>
    </row>
    <row r="38" spans="1:15" ht="42" customHeight="1">
      <c r="A38" s="122" t="s">
        <v>295</v>
      </c>
      <c r="B38" s="120" t="s">
        <v>296</v>
      </c>
      <c r="C38" s="229">
        <v>136633.02799999999</v>
      </c>
      <c r="D38" s="230"/>
      <c r="E38" s="230"/>
      <c r="F38" s="230"/>
      <c r="G38" s="231"/>
      <c r="H38" s="229">
        <v>-9133440.5120322555</v>
      </c>
      <c r="I38" s="231"/>
      <c r="J38" s="170">
        <v>-951723.44762452529</v>
      </c>
      <c r="K38" s="170">
        <v>0</v>
      </c>
      <c r="L38" s="170">
        <v>-10085163.959656781</v>
      </c>
      <c r="M38" s="170">
        <v>4480752.4473999999</v>
      </c>
      <c r="N38" s="170">
        <v>-5467778.4842567798</v>
      </c>
    </row>
    <row r="39" spans="1:15" ht="97.95" customHeight="1">
      <c r="A39" s="122" t="s">
        <v>297</v>
      </c>
      <c r="B39" s="120" t="s">
        <v>298</v>
      </c>
      <c r="C39" s="214"/>
      <c r="D39" s="232"/>
      <c r="E39" s="232"/>
      <c r="F39" s="232"/>
      <c r="G39" s="215"/>
      <c r="H39" s="233" t="s">
        <v>272</v>
      </c>
      <c r="I39" s="224"/>
      <c r="J39" s="168" t="s">
        <v>272</v>
      </c>
      <c r="K39" s="168" t="s">
        <v>272</v>
      </c>
      <c r="L39" s="145"/>
      <c r="M39" s="145"/>
      <c r="N39" s="172">
        <v>0</v>
      </c>
    </row>
    <row r="40" spans="1:15" ht="55.95" customHeight="1">
      <c r="A40" s="122" t="s">
        <v>299</v>
      </c>
      <c r="B40" s="120" t="s">
        <v>300</v>
      </c>
      <c r="C40" s="233" t="s">
        <v>272</v>
      </c>
      <c r="D40" s="234"/>
      <c r="E40" s="234"/>
      <c r="F40" s="234"/>
      <c r="G40" s="224"/>
      <c r="H40" s="233" t="s">
        <v>272</v>
      </c>
      <c r="I40" s="224"/>
      <c r="J40" s="168" t="s">
        <v>272</v>
      </c>
      <c r="K40" s="168" t="s">
        <v>272</v>
      </c>
      <c r="L40" s="168" t="s">
        <v>272</v>
      </c>
      <c r="M40" s="181">
        <v>-9924045.3840719704</v>
      </c>
      <c r="N40" s="181">
        <v>-9924045.3840719704</v>
      </c>
    </row>
    <row r="41" spans="1:15" ht="41.4">
      <c r="A41" s="121"/>
      <c r="B41" s="123" t="s">
        <v>301</v>
      </c>
      <c r="C41" s="221">
        <v>115805651.37359753</v>
      </c>
      <c r="D41" s="222"/>
      <c r="E41" s="222"/>
      <c r="F41" s="222"/>
      <c r="G41" s="222"/>
      <c r="H41" s="223">
        <v>203338126.33119616</v>
      </c>
      <c r="I41" s="224"/>
      <c r="J41" s="169">
        <v>8248691.8464117022</v>
      </c>
      <c r="K41" s="173">
        <v>0</v>
      </c>
      <c r="L41" s="169">
        <v>206453745.58337623</v>
      </c>
      <c r="M41" s="169">
        <v>-223739.93008421082</v>
      </c>
      <c r="N41" s="169">
        <v>322035657.02688956</v>
      </c>
      <c r="O41" s="148"/>
    </row>
    <row r="42" spans="1:15">
      <c r="A42" s="132"/>
      <c r="B42" s="125"/>
      <c r="C42" s="225"/>
      <c r="D42" s="226"/>
      <c r="E42" s="226"/>
      <c r="F42" s="226"/>
      <c r="G42" s="226"/>
      <c r="H42" s="126"/>
      <c r="I42" s="127"/>
      <c r="J42" s="127"/>
      <c r="K42" s="127"/>
      <c r="L42" s="176"/>
      <c r="M42" s="175"/>
      <c r="N42" s="127"/>
    </row>
    <row r="43" spans="1:15">
      <c r="A43" s="132"/>
      <c r="B43" s="227" t="s">
        <v>302</v>
      </c>
      <c r="C43" s="227"/>
      <c r="D43" s="227"/>
      <c r="E43" s="227"/>
      <c r="F43" s="227"/>
      <c r="G43" s="227"/>
      <c r="H43" s="227"/>
      <c r="I43" s="127"/>
      <c r="J43" s="127"/>
      <c r="K43" s="127"/>
      <c r="L43" s="127"/>
      <c r="M43" s="127"/>
      <c r="N43" s="127"/>
    </row>
    <row r="44" spans="1:15">
      <c r="A44" s="132"/>
      <c r="B44" s="125"/>
      <c r="C44" s="226"/>
      <c r="D44" s="226"/>
      <c r="E44" s="226"/>
      <c r="F44" s="226"/>
      <c r="G44" s="226"/>
      <c r="H44" s="126"/>
      <c r="I44" s="127"/>
      <c r="J44" s="127"/>
      <c r="K44" s="127"/>
      <c r="L44" s="127"/>
      <c r="M44" s="127"/>
      <c r="N44" s="127"/>
    </row>
    <row r="45" spans="1:15" ht="39.75" customHeight="1">
      <c r="A45" s="121"/>
      <c r="B45" s="144" t="s">
        <v>303</v>
      </c>
      <c r="C45" s="121" t="s">
        <v>132</v>
      </c>
      <c r="D45" s="121" t="s">
        <v>304</v>
      </c>
      <c r="E45" s="115" t="s">
        <v>251</v>
      </c>
      <c r="F45" s="115" t="s">
        <v>136</v>
      </c>
      <c r="G45" s="115" t="s">
        <v>234</v>
      </c>
      <c r="H45" s="115" t="s">
        <v>305</v>
      </c>
      <c r="I45" s="128"/>
      <c r="J45" s="127"/>
      <c r="K45" s="127"/>
      <c r="L45" s="132"/>
      <c r="M45" s="132"/>
      <c r="N45" s="132"/>
    </row>
    <row r="46" spans="1:15">
      <c r="A46" s="121" t="s">
        <v>253</v>
      </c>
      <c r="B46" s="124" t="s">
        <v>306</v>
      </c>
      <c r="C46" s="129"/>
      <c r="D46" s="129"/>
      <c r="E46" s="129"/>
      <c r="F46" s="129"/>
      <c r="G46" s="129"/>
      <c r="H46" s="129"/>
      <c r="I46" s="130"/>
      <c r="J46" s="131"/>
      <c r="K46" s="131"/>
      <c r="L46" s="132"/>
      <c r="M46" s="132"/>
      <c r="N46" s="132"/>
    </row>
    <row r="47" spans="1:15">
      <c r="A47" s="122"/>
      <c r="B47" s="119" t="s">
        <v>307</v>
      </c>
      <c r="C47" s="180">
        <v>0.22259999999999999</v>
      </c>
      <c r="D47" s="121" t="s">
        <v>272</v>
      </c>
      <c r="E47" s="121" t="s">
        <v>272</v>
      </c>
      <c r="F47" s="121" t="s">
        <v>272</v>
      </c>
      <c r="G47" s="121" t="s">
        <v>272</v>
      </c>
      <c r="H47" s="179">
        <v>0.11229</v>
      </c>
      <c r="I47" s="131"/>
      <c r="J47" s="131"/>
      <c r="K47" s="131"/>
      <c r="L47" s="132"/>
      <c r="M47" s="132"/>
      <c r="N47" s="132"/>
    </row>
    <row r="48" spans="1:15">
      <c r="A48" s="122"/>
      <c r="B48" s="119" t="s">
        <v>308</v>
      </c>
      <c r="C48" s="121" t="s">
        <v>272</v>
      </c>
      <c r="D48" s="121">
        <v>16.059999999999999</v>
      </c>
      <c r="E48" s="121">
        <v>14.76</v>
      </c>
      <c r="F48" s="121">
        <v>10.050000000000001</v>
      </c>
      <c r="G48" s="121">
        <v>5.83</v>
      </c>
      <c r="H48" s="121" t="s">
        <v>272</v>
      </c>
      <c r="I48" s="132"/>
      <c r="J48" s="131"/>
      <c r="K48" s="131"/>
      <c r="L48" s="132"/>
      <c r="M48" s="132"/>
      <c r="N48" s="132"/>
    </row>
    <row r="49" spans="1:14" ht="27.6">
      <c r="A49" s="122"/>
      <c r="B49" s="120" t="s">
        <v>309</v>
      </c>
      <c r="C49" s="121" t="s">
        <v>272</v>
      </c>
      <c r="D49" s="121">
        <v>0.63</v>
      </c>
      <c r="E49" s="121">
        <v>0.63</v>
      </c>
      <c r="F49" s="121">
        <v>0.63</v>
      </c>
      <c r="G49" s="121">
        <v>0.63</v>
      </c>
      <c r="H49" s="121" t="s">
        <v>272</v>
      </c>
      <c r="I49" s="132"/>
      <c r="J49" s="131"/>
      <c r="K49" s="131"/>
      <c r="L49" s="132"/>
      <c r="M49" s="132"/>
      <c r="N49" s="132"/>
    </row>
    <row r="50" spans="1:14" ht="27.6">
      <c r="A50" s="122"/>
      <c r="B50" s="120"/>
      <c r="C50" s="115" t="s">
        <v>132</v>
      </c>
      <c r="D50" s="228" t="s">
        <v>236</v>
      </c>
      <c r="E50" s="228"/>
      <c r="F50" s="115" t="s">
        <v>136</v>
      </c>
      <c r="G50" s="115" t="s">
        <v>234</v>
      </c>
      <c r="H50" s="115" t="s">
        <v>305</v>
      </c>
      <c r="I50" s="128"/>
      <c r="J50" s="131"/>
      <c r="K50" s="131"/>
      <c r="L50" s="132"/>
      <c r="M50" s="132"/>
      <c r="N50" s="132"/>
    </row>
    <row r="51" spans="1:14">
      <c r="A51" s="121" t="s">
        <v>256</v>
      </c>
      <c r="B51" s="124" t="s">
        <v>310</v>
      </c>
      <c r="C51" s="129"/>
      <c r="D51" s="214"/>
      <c r="E51" s="215"/>
      <c r="F51" s="129"/>
      <c r="G51" s="129"/>
      <c r="H51" s="129"/>
      <c r="I51" s="130"/>
      <c r="J51" s="131"/>
      <c r="K51" s="131"/>
      <c r="L51" s="132"/>
      <c r="M51" s="132"/>
      <c r="N51" s="132"/>
    </row>
    <row r="52" spans="1:14">
      <c r="A52" s="122"/>
      <c r="B52" s="119" t="s">
        <v>307</v>
      </c>
      <c r="C52" s="178">
        <v>0.50741564583950416</v>
      </c>
      <c r="D52" s="216">
        <v>0.57909677261096293</v>
      </c>
      <c r="E52" s="217"/>
      <c r="F52" s="178">
        <v>0.13872896922485603</v>
      </c>
      <c r="G52" s="178">
        <v>0.19303225753698763</v>
      </c>
      <c r="H52" s="178">
        <v>2.20292707543806E-2</v>
      </c>
      <c r="I52" s="131"/>
      <c r="J52" s="131"/>
      <c r="K52" s="131"/>
      <c r="L52" s="131"/>
      <c r="M52" s="131"/>
      <c r="N52" s="131"/>
    </row>
    <row r="53" spans="1:14">
      <c r="A53" s="133"/>
    </row>
    <row r="54" spans="1:14">
      <c r="A54" s="133"/>
    </row>
    <row r="55" spans="1:14">
      <c r="A55" s="133"/>
    </row>
    <row r="56" spans="1:14" ht="17.399999999999999">
      <c r="A56" s="133"/>
      <c r="B56" s="171"/>
      <c r="M56" s="171"/>
    </row>
    <row r="57" spans="1:14">
      <c r="A57" s="133"/>
    </row>
    <row r="58" spans="1:14">
      <c r="A58" s="133"/>
    </row>
    <row r="59" spans="1:14">
      <c r="A59" s="133"/>
    </row>
    <row r="60" spans="1:14">
      <c r="A60" s="133"/>
    </row>
    <row r="61" spans="1:14">
      <c r="A61" s="133"/>
    </row>
    <row r="62" spans="1:14">
      <c r="A62" s="133"/>
    </row>
    <row r="63" spans="1:14">
      <c r="A63" s="133"/>
    </row>
    <row r="64" spans="1:14">
      <c r="A64" s="133"/>
    </row>
    <row r="65" spans="1:1">
      <c r="A65" s="133"/>
    </row>
    <row r="66" spans="1:1">
      <c r="A66" s="133"/>
    </row>
    <row r="67" spans="1:1">
      <c r="A67" s="133"/>
    </row>
    <row r="68" spans="1:1">
      <c r="A68" s="133"/>
    </row>
    <row r="69" spans="1:1">
      <c r="A69" s="133"/>
    </row>
    <row r="70" spans="1:1">
      <c r="A70" s="133"/>
    </row>
    <row r="71" spans="1:1">
      <c r="A71" s="133"/>
    </row>
    <row r="72" spans="1:1">
      <c r="A72" s="133"/>
    </row>
    <row r="73" spans="1:1">
      <c r="A73" s="133"/>
    </row>
    <row r="74" spans="1:1">
      <c r="A74" s="133"/>
    </row>
    <row r="75" spans="1:1">
      <c r="A75" s="133"/>
    </row>
    <row r="76" spans="1:1">
      <c r="A76" s="133"/>
    </row>
    <row r="77" spans="1:1">
      <c r="A77" s="133"/>
    </row>
    <row r="78" spans="1:1">
      <c r="A78" s="133"/>
    </row>
    <row r="79" spans="1:1">
      <c r="A79" s="133"/>
    </row>
    <row r="80" spans="1:1">
      <c r="A80" s="133"/>
    </row>
    <row r="81" spans="1:1">
      <c r="A81" s="133"/>
    </row>
    <row r="82" spans="1:1">
      <c r="A82" s="133"/>
    </row>
    <row r="83" spans="1:1">
      <c r="A83" s="133"/>
    </row>
    <row r="84" spans="1:1">
      <c r="A84" s="133"/>
    </row>
    <row r="85" spans="1:1">
      <c r="A85" s="133"/>
    </row>
    <row r="86" spans="1:1">
      <c r="A86" s="133"/>
    </row>
    <row r="87" spans="1:1">
      <c r="A87" s="133"/>
    </row>
    <row r="88" spans="1:1">
      <c r="A88" s="133"/>
    </row>
    <row r="89" spans="1:1">
      <c r="A89" s="133"/>
    </row>
    <row r="90" spans="1:1">
      <c r="A90" s="133"/>
    </row>
    <row r="91" spans="1:1">
      <c r="A91" s="133"/>
    </row>
    <row r="92" spans="1:1">
      <c r="A92" s="133"/>
    </row>
    <row r="93" spans="1:1">
      <c r="A93" s="133"/>
    </row>
    <row r="94" spans="1:1">
      <c r="A94" s="133"/>
    </row>
    <row r="95" spans="1:1">
      <c r="A95" s="133"/>
    </row>
    <row r="96" spans="1:1">
      <c r="A96" s="133"/>
    </row>
    <row r="97" spans="1:1">
      <c r="A97" s="133"/>
    </row>
    <row r="98" spans="1:1">
      <c r="A98" s="133"/>
    </row>
    <row r="99" spans="1:1">
      <c r="A99" s="133"/>
    </row>
    <row r="100" spans="1:1">
      <c r="A100" s="133"/>
    </row>
    <row r="101" spans="1:1">
      <c r="A101" s="133"/>
    </row>
    <row r="102" spans="1:1">
      <c r="A102" s="133"/>
    </row>
    <row r="103" spans="1:1">
      <c r="A103" s="133"/>
    </row>
    <row r="104" spans="1:1">
      <c r="A104" s="133"/>
    </row>
    <row r="105" spans="1:1">
      <c r="A105" s="133"/>
    </row>
    <row r="106" spans="1:1">
      <c r="A106" s="133"/>
    </row>
    <row r="107" spans="1:1">
      <c r="A107" s="133"/>
    </row>
    <row r="108" spans="1:1">
      <c r="A108" s="133"/>
    </row>
    <row r="109" spans="1:1">
      <c r="A109" s="133"/>
    </row>
    <row r="110" spans="1:1">
      <c r="A110" s="133"/>
    </row>
    <row r="111" spans="1:1">
      <c r="A111" s="133"/>
    </row>
    <row r="112" spans="1:1">
      <c r="A112" s="133"/>
    </row>
    <row r="113" spans="1:1">
      <c r="A113" s="133"/>
    </row>
    <row r="114" spans="1:1">
      <c r="A114" s="133"/>
    </row>
    <row r="115" spans="1:1">
      <c r="A115" s="133"/>
    </row>
    <row r="116" spans="1:1">
      <c r="A116" s="133"/>
    </row>
    <row r="117" spans="1:1">
      <c r="A117" s="133"/>
    </row>
    <row r="118" spans="1:1">
      <c r="A118" s="133"/>
    </row>
    <row r="119" spans="1:1">
      <c r="A119" s="133"/>
    </row>
    <row r="120" spans="1:1">
      <c r="A120" s="133"/>
    </row>
    <row r="121" spans="1:1">
      <c r="A121" s="133"/>
    </row>
    <row r="122" spans="1:1">
      <c r="A122" s="133"/>
    </row>
    <row r="123" spans="1:1">
      <c r="A123" s="133"/>
    </row>
    <row r="124" spans="1:1">
      <c r="A124" s="133"/>
    </row>
    <row r="125" spans="1:1">
      <c r="A125" s="133"/>
    </row>
    <row r="126" spans="1:1">
      <c r="A126" s="133"/>
    </row>
    <row r="127" spans="1:1">
      <c r="A127" s="133"/>
    </row>
    <row r="128" spans="1:1">
      <c r="A128" s="133"/>
    </row>
    <row r="129" spans="1:1">
      <c r="A129" s="133"/>
    </row>
    <row r="130" spans="1:1">
      <c r="A130" s="133"/>
    </row>
    <row r="131" spans="1:1">
      <c r="A131" s="133"/>
    </row>
    <row r="132" spans="1:1">
      <c r="A132" s="133"/>
    </row>
    <row r="133" spans="1:1">
      <c r="A133" s="133"/>
    </row>
  </sheetData>
  <mergeCells count="66">
    <mergeCell ref="C2:N2"/>
    <mergeCell ref="D3:L3"/>
    <mergeCell ref="D4:L4"/>
    <mergeCell ref="A7:A9"/>
    <mergeCell ref="B7:B9"/>
    <mergeCell ref="C7:M7"/>
    <mergeCell ref="N7:N9"/>
    <mergeCell ref="C8:G8"/>
    <mergeCell ref="I8:L8"/>
    <mergeCell ref="M8:M9"/>
    <mergeCell ref="H11:I11"/>
    <mergeCell ref="H13:I13"/>
    <mergeCell ref="H14:I14"/>
    <mergeCell ref="H16:I16"/>
    <mergeCell ref="H17:I17"/>
    <mergeCell ref="C19:N19"/>
    <mergeCell ref="H20:I20"/>
    <mergeCell ref="C21:G21"/>
    <mergeCell ref="H21:I21"/>
    <mergeCell ref="C22:G22"/>
    <mergeCell ref="H22:I22"/>
    <mergeCell ref="C23:G23"/>
    <mergeCell ref="H23:I23"/>
    <mergeCell ref="C24:G24"/>
    <mergeCell ref="H24:I24"/>
    <mergeCell ref="C25:G25"/>
    <mergeCell ref="H25:L25"/>
    <mergeCell ref="C26:G26"/>
    <mergeCell ref="H26:I26"/>
    <mergeCell ref="C27:G27"/>
    <mergeCell ref="H27:I27"/>
    <mergeCell ref="C28:G28"/>
    <mergeCell ref="H28:I28"/>
    <mergeCell ref="C29:G29"/>
    <mergeCell ref="H29:I29"/>
    <mergeCell ref="C30:G30"/>
    <mergeCell ref="H30:I30"/>
    <mergeCell ref="C31:G31"/>
    <mergeCell ref="H31:I31"/>
    <mergeCell ref="C32:G32"/>
    <mergeCell ref="H32:I32"/>
    <mergeCell ref="C33:G33"/>
    <mergeCell ref="H33:I33"/>
    <mergeCell ref="C34:G34"/>
    <mergeCell ref="H34:I34"/>
    <mergeCell ref="H35:I35"/>
    <mergeCell ref="C36:G36"/>
    <mergeCell ref="H36:I36"/>
    <mergeCell ref="C37:G37"/>
    <mergeCell ref="H37:I37"/>
    <mergeCell ref="D51:E51"/>
    <mergeCell ref="D52:E52"/>
    <mergeCell ref="C18:N18"/>
    <mergeCell ref="C41:G41"/>
    <mergeCell ref="H41:I41"/>
    <mergeCell ref="C42:G42"/>
    <mergeCell ref="B43:H43"/>
    <mergeCell ref="C44:G44"/>
    <mergeCell ref="D50:E50"/>
    <mergeCell ref="C38:G38"/>
    <mergeCell ref="H38:I38"/>
    <mergeCell ref="C39:G39"/>
    <mergeCell ref="H39:I39"/>
    <mergeCell ref="C40:G40"/>
    <mergeCell ref="H40:I40"/>
    <mergeCell ref="C35:G3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C15" sqref="C15"/>
    </sheetView>
  </sheetViews>
  <sheetFormatPr defaultRowHeight="13.2"/>
  <cols>
    <col min="1" max="1" width="24" customWidth="1"/>
    <col min="2" max="2" width="18.5546875" customWidth="1"/>
    <col min="3" max="3" width="13" customWidth="1"/>
    <col min="4" max="4" width="18.109375" customWidth="1"/>
    <col min="5" max="5" width="9.44140625" bestFit="1" customWidth="1"/>
  </cols>
  <sheetData>
    <row r="2" spans="1:4">
      <c r="A2" s="33" t="s">
        <v>132</v>
      </c>
      <c r="B2" s="36">
        <f>SUM(B3:B6)</f>
        <v>205638249</v>
      </c>
      <c r="C2" s="38"/>
      <c r="D2" s="37">
        <v>205800000</v>
      </c>
    </row>
    <row r="3" spans="1:4">
      <c r="A3" s="34" t="s">
        <v>141</v>
      </c>
      <c r="B3" s="37">
        <v>20918213.699999999</v>
      </c>
      <c r="C3" s="39">
        <f>B3/$B$2</f>
        <v>0.10172336032680379</v>
      </c>
      <c r="D3" s="37">
        <f>$D$2*C3</f>
        <v>20934667.555256221</v>
      </c>
    </row>
    <row r="4" spans="1:4">
      <c r="A4" s="34" t="s">
        <v>142</v>
      </c>
      <c r="B4" s="37">
        <v>2662017</v>
      </c>
      <c r="C4" s="39">
        <f>B4/$B$2</f>
        <v>1.2945145239006582E-2</v>
      </c>
      <c r="D4" s="37">
        <f>$D$2*C4</f>
        <v>2664110.8901875545</v>
      </c>
    </row>
    <row r="5" spans="1:4">
      <c r="A5" s="34" t="s">
        <v>143</v>
      </c>
      <c r="B5" s="37">
        <f>182058018.3-173813859</f>
        <v>8244159.3000000119</v>
      </c>
      <c r="C5" s="39">
        <f>B5/$B$2</f>
        <v>4.0090592776833127E-2</v>
      </c>
      <c r="D5" s="37">
        <f>$D$2*C5</f>
        <v>8250643.9934722576</v>
      </c>
    </row>
    <row r="6" spans="1:4">
      <c r="A6" s="34" t="s">
        <v>22</v>
      </c>
      <c r="B6" s="37">
        <v>173813859</v>
      </c>
      <c r="C6" s="39">
        <f>B6/$B$2</f>
        <v>0.84524090165735655</v>
      </c>
      <c r="D6" s="37">
        <f>$D$2*C6</f>
        <v>173950577.56108397</v>
      </c>
    </row>
    <row r="9" spans="1:4">
      <c r="A9" s="34" t="s">
        <v>173</v>
      </c>
      <c r="B9" s="37">
        <v>205800000</v>
      </c>
    </row>
    <row r="10" spans="1:4">
      <c r="A10" s="34" t="s">
        <v>169</v>
      </c>
      <c r="B10" s="37">
        <v>553350000</v>
      </c>
    </row>
    <row r="11" spans="1:4">
      <c r="A11" s="34" t="s">
        <v>170</v>
      </c>
      <c r="B11" s="36">
        <f>B10-B9</f>
        <v>347550000</v>
      </c>
    </row>
    <row r="12" spans="1:4">
      <c r="A12" s="34" t="s">
        <v>174</v>
      </c>
      <c r="B12" s="54">
        <v>41.16</v>
      </c>
      <c r="C12" s="36">
        <f>B9/B12/1000</f>
        <v>5000</v>
      </c>
    </row>
    <row r="13" spans="1:4">
      <c r="A13" s="34" t="s">
        <v>171</v>
      </c>
      <c r="B13" s="71">
        <v>76.17</v>
      </c>
      <c r="C13" s="37">
        <f>B10/B13/1000</f>
        <v>7264.6711303662851</v>
      </c>
    </row>
    <row r="14" spans="1:4">
      <c r="A14" s="34" t="s">
        <v>172</v>
      </c>
      <c r="B14" s="71">
        <f>B13-B12</f>
        <v>35.010000000000005</v>
      </c>
      <c r="C14" s="37">
        <f>B11/B14/1000</f>
        <v>9927.1636675235623</v>
      </c>
    </row>
    <row r="15" spans="1:4">
      <c r="C15" s="36">
        <f>B11/B14/1000/12*6</f>
        <v>4963.5818337617811</v>
      </c>
    </row>
    <row r="17" spans="1:5">
      <c r="A17" s="34" t="s">
        <v>184</v>
      </c>
      <c r="B17" s="37">
        <v>553350000</v>
      </c>
      <c r="C17">
        <v>1.238</v>
      </c>
      <c r="D17" s="36">
        <f>B17*C17</f>
        <v>685047300</v>
      </c>
      <c r="E17" s="87">
        <f>(D17+D18)/B17</f>
        <v>1.7985203493629709</v>
      </c>
    </row>
    <row r="18" spans="1:5">
      <c r="A18" s="34" t="s">
        <v>185</v>
      </c>
      <c r="B18" s="71">
        <v>76.17</v>
      </c>
      <c r="C18">
        <v>339333</v>
      </c>
      <c r="D18" s="86">
        <f>B18*C18*12</f>
        <v>310163935.31999999</v>
      </c>
    </row>
    <row r="20" spans="1:5">
      <c r="A20" s="43" t="s">
        <v>134</v>
      </c>
      <c r="B20" s="44">
        <v>71399140</v>
      </c>
      <c r="C20" s="90">
        <f>B20/$B$24</f>
        <v>0.24885061174943843</v>
      </c>
      <c r="D20" s="72">
        <f>$D$24*C20</f>
        <v>2340.688854115218</v>
      </c>
    </row>
    <row r="21" spans="1:5">
      <c r="A21" s="43" t="s">
        <v>135</v>
      </c>
      <c r="B21" s="44">
        <v>169229530</v>
      </c>
      <c r="C21" s="90">
        <f>B21/$B$24</f>
        <v>0.5898232396996651</v>
      </c>
      <c r="D21" s="72">
        <f>$D$24*C21</f>
        <v>5547.8773926150498</v>
      </c>
    </row>
    <row r="22" spans="1:5">
      <c r="A22" s="43" t="s">
        <v>136</v>
      </c>
      <c r="B22" s="44">
        <v>46287000</v>
      </c>
      <c r="C22" s="90">
        <f>B22/$B$24</f>
        <v>0.1613261485508965</v>
      </c>
      <c r="D22" s="72">
        <f>$D$24*C22</f>
        <v>1517.4337532697325</v>
      </c>
    </row>
    <row r="23" spans="1:5">
      <c r="A23" s="43" t="s">
        <v>137</v>
      </c>
      <c r="B23" s="46">
        <v>0</v>
      </c>
      <c r="C23" s="90">
        <f>B23/$B$24</f>
        <v>0</v>
      </c>
      <c r="D23" s="72">
        <f>$D$24*C23</f>
        <v>0</v>
      </c>
    </row>
    <row r="24" spans="1:5">
      <c r="B24" s="36">
        <f>SUM(B20:B23)</f>
        <v>286915670</v>
      </c>
      <c r="D24">
        <v>9406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6" zoomScaleNormal="100" zoomScaleSheetLayoutView="120" workbookViewId="0">
      <selection activeCell="A2" sqref="A2:E31"/>
    </sheetView>
  </sheetViews>
  <sheetFormatPr defaultColWidth="9.109375" defaultRowHeight="13.2"/>
  <cols>
    <col min="1" max="1" width="4.6640625" style="9" customWidth="1"/>
    <col min="2" max="2" width="61.33203125" style="19" customWidth="1"/>
    <col min="3" max="3" width="15.33203125" style="9" customWidth="1"/>
    <col min="4" max="4" width="25" style="9" customWidth="1"/>
    <col min="5" max="5" width="14.6640625" style="9" customWidth="1"/>
    <col min="6" max="6" width="3.6640625" style="9" customWidth="1"/>
    <col min="7" max="16384" width="9.109375" style="9"/>
  </cols>
  <sheetData>
    <row r="1" spans="1:6">
      <c r="A1" s="7"/>
      <c r="B1" s="8"/>
      <c r="C1" s="7"/>
      <c r="D1" s="7"/>
      <c r="E1" s="7"/>
      <c r="F1" s="7"/>
    </row>
    <row r="2" spans="1:6" ht="57" customHeight="1">
      <c r="A2" s="7"/>
      <c r="B2" s="182" t="s">
        <v>130</v>
      </c>
      <c r="C2" s="183"/>
      <c r="D2" s="183"/>
      <c r="E2" s="184"/>
      <c r="F2" s="7"/>
    </row>
    <row r="3" spans="1:6" ht="24" customHeight="1">
      <c r="A3" s="7"/>
      <c r="B3" s="10" t="s">
        <v>40</v>
      </c>
      <c r="C3" s="11"/>
      <c r="D3" s="11"/>
      <c r="E3" s="12"/>
      <c r="F3" s="7"/>
    </row>
    <row r="4" spans="1:6" ht="26.4">
      <c r="A4" s="7"/>
      <c r="B4" s="13" t="s">
        <v>39</v>
      </c>
      <c r="C4" s="14" t="s">
        <v>41</v>
      </c>
      <c r="D4" s="14" t="s">
        <v>43</v>
      </c>
      <c r="E4" s="15" t="s">
        <v>44</v>
      </c>
      <c r="F4" s="7"/>
    </row>
    <row r="5" spans="1:6">
      <c r="A5" s="7"/>
      <c r="B5" s="13" t="s">
        <v>9</v>
      </c>
      <c r="C5" s="14" t="s">
        <v>42</v>
      </c>
      <c r="D5" s="14" t="s">
        <v>45</v>
      </c>
      <c r="E5" s="15" t="s">
        <v>46</v>
      </c>
      <c r="F5" s="7"/>
    </row>
    <row r="6" spans="1:6" ht="26.4">
      <c r="A6" s="7"/>
      <c r="B6" s="13" t="s">
        <v>38</v>
      </c>
      <c r="C6" s="14" t="s">
        <v>47</v>
      </c>
      <c r="D6" s="14" t="s">
        <v>48</v>
      </c>
      <c r="E6" s="15" t="s">
        <v>49</v>
      </c>
      <c r="F6" s="7"/>
    </row>
    <row r="7" spans="1:6">
      <c r="A7" s="7"/>
      <c r="B7" s="13" t="s">
        <v>8</v>
      </c>
      <c r="C7" s="14" t="s">
        <v>50</v>
      </c>
      <c r="D7" s="14" t="s">
        <v>51</v>
      </c>
      <c r="E7" s="15" t="s">
        <v>52</v>
      </c>
      <c r="F7" s="7"/>
    </row>
    <row r="8" spans="1:6" ht="52.8">
      <c r="A8" s="7"/>
      <c r="B8" s="13" t="s">
        <v>37</v>
      </c>
      <c r="C8" s="14" t="s">
        <v>53</v>
      </c>
      <c r="D8" s="14" t="s">
        <v>54</v>
      </c>
      <c r="E8" s="15" t="s">
        <v>55</v>
      </c>
      <c r="F8" s="7"/>
    </row>
    <row r="9" spans="1:6" ht="52.8">
      <c r="A9" s="7"/>
      <c r="B9" s="13" t="s">
        <v>36</v>
      </c>
      <c r="C9" s="14" t="s">
        <v>56</v>
      </c>
      <c r="D9" s="14" t="s">
        <v>57</v>
      </c>
      <c r="E9" s="15" t="s">
        <v>58</v>
      </c>
      <c r="F9" s="7"/>
    </row>
    <row r="10" spans="1:6" ht="52.8">
      <c r="A10" s="7"/>
      <c r="B10" s="13" t="s">
        <v>35</v>
      </c>
      <c r="C10" s="14" t="s">
        <v>59</v>
      </c>
      <c r="D10" s="14" t="s">
        <v>60</v>
      </c>
      <c r="E10" s="15" t="s">
        <v>61</v>
      </c>
      <c r="F10" s="7"/>
    </row>
    <row r="11" spans="1:6">
      <c r="A11" s="7"/>
      <c r="B11" s="13" t="s">
        <v>34</v>
      </c>
      <c r="C11" s="14" t="s">
        <v>62</v>
      </c>
      <c r="D11" s="14" t="s">
        <v>63</v>
      </c>
      <c r="E11" s="15" t="s">
        <v>64</v>
      </c>
      <c r="F11" s="7"/>
    </row>
    <row r="12" spans="1:6">
      <c r="A12" s="7"/>
      <c r="B12" s="13" t="s">
        <v>1</v>
      </c>
      <c r="C12" s="14" t="s">
        <v>65</v>
      </c>
      <c r="D12" s="14" t="s">
        <v>66</v>
      </c>
      <c r="E12" s="15" t="s">
        <v>67</v>
      </c>
      <c r="F12" s="7"/>
    </row>
    <row r="13" spans="1:6" ht="39.6">
      <c r="A13" s="7"/>
      <c r="B13" s="13" t="s">
        <v>33</v>
      </c>
      <c r="C13" s="14" t="s">
        <v>68</v>
      </c>
      <c r="D13" s="14" t="s">
        <v>69</v>
      </c>
      <c r="E13" s="15" t="s">
        <v>70</v>
      </c>
      <c r="F13" s="7"/>
    </row>
    <row r="14" spans="1:6">
      <c r="A14" s="7"/>
      <c r="B14" s="13" t="s">
        <v>32</v>
      </c>
      <c r="C14" s="14" t="s">
        <v>71</v>
      </c>
      <c r="D14" s="14" t="s">
        <v>72</v>
      </c>
      <c r="E14" s="15" t="s">
        <v>73</v>
      </c>
      <c r="F14" s="7"/>
    </row>
    <row r="15" spans="1:6" ht="26.4">
      <c r="A15" s="7"/>
      <c r="B15" s="13" t="s">
        <v>31</v>
      </c>
      <c r="C15" s="14" t="s">
        <v>74</v>
      </c>
      <c r="D15" s="14" t="s">
        <v>75</v>
      </c>
      <c r="E15" s="15" t="s">
        <v>76</v>
      </c>
      <c r="F15" s="7"/>
    </row>
    <row r="16" spans="1:6">
      <c r="A16" s="7"/>
      <c r="B16" s="13" t="s">
        <v>21</v>
      </c>
      <c r="C16" s="14" t="s">
        <v>77</v>
      </c>
      <c r="D16" s="14" t="s">
        <v>78</v>
      </c>
      <c r="E16" s="15" t="s">
        <v>79</v>
      </c>
      <c r="F16" s="7"/>
    </row>
    <row r="17" spans="1:6">
      <c r="A17" s="7"/>
      <c r="B17" s="13" t="s">
        <v>5</v>
      </c>
      <c r="C17" s="14" t="s">
        <v>80</v>
      </c>
      <c r="D17" s="14" t="s">
        <v>81</v>
      </c>
      <c r="E17" s="15" t="s">
        <v>82</v>
      </c>
      <c r="F17" s="7"/>
    </row>
    <row r="18" spans="1:6">
      <c r="A18" s="7"/>
      <c r="B18" s="13" t="s">
        <v>20</v>
      </c>
      <c r="C18" s="14" t="s">
        <v>83</v>
      </c>
      <c r="D18" s="14" t="s">
        <v>84</v>
      </c>
      <c r="E18" s="15" t="s">
        <v>85</v>
      </c>
      <c r="F18" s="7"/>
    </row>
    <row r="19" spans="1:6">
      <c r="A19" s="7"/>
      <c r="B19" s="13" t="s">
        <v>30</v>
      </c>
      <c r="C19" s="14" t="s">
        <v>86</v>
      </c>
      <c r="D19" s="14" t="s">
        <v>87</v>
      </c>
      <c r="E19" s="15" t="s">
        <v>88</v>
      </c>
      <c r="F19" s="7"/>
    </row>
    <row r="20" spans="1:6">
      <c r="A20" s="7"/>
      <c r="B20" s="13" t="s">
        <v>7</v>
      </c>
      <c r="C20" s="14" t="s">
        <v>89</v>
      </c>
      <c r="D20" s="14" t="s">
        <v>90</v>
      </c>
      <c r="E20" s="15" t="s">
        <v>91</v>
      </c>
      <c r="F20" s="7"/>
    </row>
    <row r="21" spans="1:6" ht="26.4">
      <c r="A21" s="7"/>
      <c r="B21" s="13" t="s">
        <v>29</v>
      </c>
      <c r="C21" s="14" t="s">
        <v>92</v>
      </c>
      <c r="D21" s="14" t="s">
        <v>93</v>
      </c>
      <c r="E21" s="15" t="s">
        <v>94</v>
      </c>
      <c r="F21" s="7"/>
    </row>
    <row r="22" spans="1:6">
      <c r="A22" s="7"/>
      <c r="B22" s="13" t="s">
        <v>2</v>
      </c>
      <c r="C22" s="14" t="s">
        <v>95</v>
      </c>
      <c r="D22" s="14" t="s">
        <v>96</v>
      </c>
      <c r="E22" s="15" t="s">
        <v>97</v>
      </c>
      <c r="F22" s="7"/>
    </row>
    <row r="23" spans="1:6">
      <c r="A23" s="7"/>
      <c r="B23" s="13" t="s">
        <v>28</v>
      </c>
      <c r="C23" s="14" t="s">
        <v>98</v>
      </c>
      <c r="D23" s="14" t="s">
        <v>99</v>
      </c>
      <c r="E23" s="15" t="s">
        <v>100</v>
      </c>
      <c r="F23" s="7"/>
    </row>
    <row r="24" spans="1:6">
      <c r="A24" s="7"/>
      <c r="B24" s="13" t="s">
        <v>10</v>
      </c>
      <c r="C24" s="14" t="s">
        <v>101</v>
      </c>
      <c r="D24" s="14" t="s">
        <v>102</v>
      </c>
      <c r="E24" s="15" t="s">
        <v>103</v>
      </c>
      <c r="F24" s="7"/>
    </row>
    <row r="25" spans="1:6">
      <c r="A25" s="7"/>
      <c r="B25" s="13" t="s">
        <v>12</v>
      </c>
      <c r="C25" s="14" t="s">
        <v>104</v>
      </c>
      <c r="D25" s="14" t="s">
        <v>105</v>
      </c>
      <c r="E25" s="15" t="s">
        <v>106</v>
      </c>
      <c r="F25" s="7"/>
    </row>
    <row r="26" spans="1:6">
      <c r="A26" s="7"/>
      <c r="B26" s="13" t="s">
        <v>3</v>
      </c>
      <c r="C26" s="14" t="s">
        <v>107</v>
      </c>
      <c r="D26" s="14" t="s">
        <v>108</v>
      </c>
      <c r="E26" s="15" t="s">
        <v>109</v>
      </c>
      <c r="F26" s="7"/>
    </row>
    <row r="27" spans="1:6">
      <c r="A27" s="7"/>
      <c r="B27" s="13" t="s">
        <v>27</v>
      </c>
      <c r="C27" s="14" t="s">
        <v>110</v>
      </c>
      <c r="D27" s="14" t="s">
        <v>111</v>
      </c>
      <c r="E27" s="15" t="s">
        <v>112</v>
      </c>
      <c r="F27" s="7"/>
    </row>
    <row r="28" spans="1:6">
      <c r="A28" s="7"/>
      <c r="B28" s="13" t="s">
        <v>6</v>
      </c>
      <c r="C28" s="14" t="s">
        <v>113</v>
      </c>
      <c r="D28" s="14" t="s">
        <v>114</v>
      </c>
      <c r="E28" s="15" t="s">
        <v>115</v>
      </c>
      <c r="F28" s="7"/>
    </row>
    <row r="29" spans="1:6">
      <c r="A29" s="7"/>
      <c r="B29" s="13" t="s">
        <v>19</v>
      </c>
      <c r="C29" s="14" t="s">
        <v>116</v>
      </c>
      <c r="D29" s="14" t="s">
        <v>117</v>
      </c>
      <c r="E29" s="15" t="s">
        <v>118</v>
      </c>
      <c r="F29" s="7"/>
    </row>
    <row r="30" spans="1:6">
      <c r="A30" s="7"/>
      <c r="B30" s="13" t="s">
        <v>4</v>
      </c>
      <c r="C30" s="14" t="s">
        <v>119</v>
      </c>
      <c r="D30" s="14" t="s">
        <v>120</v>
      </c>
      <c r="E30" s="15" t="s">
        <v>121</v>
      </c>
      <c r="F30" s="7"/>
    </row>
    <row r="31" spans="1:6">
      <c r="A31" s="7"/>
      <c r="B31" s="16" t="s">
        <v>0</v>
      </c>
      <c r="C31" s="17" t="s">
        <v>122</v>
      </c>
      <c r="D31" s="17" t="s">
        <v>123</v>
      </c>
      <c r="E31" s="18" t="s">
        <v>124</v>
      </c>
      <c r="F31" s="7"/>
    </row>
    <row r="32" spans="1:6">
      <c r="A32" s="7"/>
      <c r="B32" s="8"/>
      <c r="C32" s="7"/>
      <c r="D32" s="7"/>
      <c r="E32" s="7"/>
      <c r="F32" s="7"/>
    </row>
    <row r="33" spans="1:6">
      <c r="A33" s="7"/>
      <c r="B33" s="8"/>
      <c r="C33" s="7"/>
      <c r="D33" s="7"/>
      <c r="E33" s="7"/>
      <c r="F33" s="7"/>
    </row>
    <row r="34" spans="1:6">
      <c r="A34" s="7"/>
      <c r="B34" s="8"/>
      <c r="C34" s="7"/>
      <c r="D34" s="7"/>
      <c r="E34" s="7"/>
      <c r="F34" s="7"/>
    </row>
    <row r="35" spans="1:6">
      <c r="A35" s="7"/>
      <c r="B35" s="8"/>
      <c r="C35" s="7"/>
      <c r="D35" s="7"/>
      <c r="E35" s="7"/>
      <c r="F35" s="7"/>
    </row>
    <row r="36" spans="1:6">
      <c r="A36" s="7"/>
      <c r="B36" s="8"/>
      <c r="C36" s="7"/>
      <c r="D36" s="7"/>
      <c r="E36" s="7"/>
      <c r="F36" s="7"/>
    </row>
    <row r="37" spans="1:6">
      <c r="A37" s="7"/>
      <c r="B37" s="8"/>
      <c r="C37" s="7"/>
      <c r="D37" s="7"/>
      <c r="E37" s="7"/>
      <c r="F37" s="7"/>
    </row>
    <row r="38" spans="1:6">
      <c r="A38" s="7"/>
      <c r="B38" s="8"/>
      <c r="C38" s="7"/>
      <c r="D38" s="7"/>
      <c r="E38" s="7"/>
      <c r="F38" s="7"/>
    </row>
    <row r="39" spans="1:6">
      <c r="A39" s="7"/>
      <c r="B39" s="8"/>
      <c r="C39" s="7"/>
      <c r="D39" s="7"/>
      <c r="E39" s="7"/>
      <c r="F39" s="7"/>
    </row>
    <row r="40" spans="1:6">
      <c r="A40" s="7"/>
      <c r="B40" s="8"/>
      <c r="C40" s="7"/>
      <c r="D40" s="7"/>
      <c r="E40" s="7"/>
      <c r="F40" s="7"/>
    </row>
    <row r="41" spans="1:6">
      <c r="A41" s="7"/>
      <c r="B41" s="8"/>
      <c r="C41" s="7"/>
      <c r="D41" s="7"/>
      <c r="E41" s="7"/>
      <c r="F41" s="7"/>
    </row>
    <row r="42" spans="1:6">
      <c r="A42" s="7"/>
      <c r="B42" s="8"/>
      <c r="C42" s="7"/>
      <c r="D42" s="7"/>
      <c r="E42" s="7"/>
      <c r="F42" s="7"/>
    </row>
    <row r="43" spans="1:6">
      <c r="A43" s="7"/>
      <c r="B43" s="8"/>
      <c r="C43" s="7"/>
      <c r="D43" s="7"/>
      <c r="E43" s="7"/>
      <c r="F43" s="7"/>
    </row>
    <row r="44" spans="1:6">
      <c r="A44" s="7"/>
      <c r="B44" s="8"/>
      <c r="C44" s="7"/>
      <c r="D44" s="7"/>
      <c r="E44" s="7"/>
      <c r="F44" s="7"/>
    </row>
    <row r="45" spans="1:6">
      <c r="A45" s="7"/>
      <c r="B45" s="8"/>
      <c r="C45" s="7"/>
      <c r="D45" s="7"/>
      <c r="E45" s="7"/>
      <c r="F45" s="7"/>
    </row>
    <row r="46" spans="1:6">
      <c r="A46" s="7"/>
      <c r="B46" s="8"/>
      <c r="C46" s="7"/>
      <c r="D46" s="7"/>
      <c r="E46" s="7"/>
      <c r="F46" s="7"/>
    </row>
    <row r="47" spans="1:6">
      <c r="A47" s="7"/>
      <c r="B47" s="8"/>
      <c r="C47" s="7"/>
      <c r="D47" s="7"/>
      <c r="E47" s="7"/>
      <c r="F47" s="7"/>
    </row>
    <row r="48" spans="1:6">
      <c r="A48" s="7"/>
      <c r="B48" s="8"/>
      <c r="C48" s="7"/>
      <c r="D48" s="7"/>
      <c r="E48" s="7"/>
      <c r="F48" s="7"/>
    </row>
    <row r="49" spans="1:6">
      <c r="A49" s="7"/>
      <c r="B49" s="8"/>
      <c r="C49" s="7"/>
      <c r="D49" s="7"/>
      <c r="E49" s="7"/>
      <c r="F49" s="7"/>
    </row>
    <row r="50" spans="1:6">
      <c r="A50" s="7"/>
      <c r="B50" s="8"/>
      <c r="C50" s="7"/>
      <c r="D50" s="7"/>
      <c r="E50" s="7"/>
      <c r="F50" s="7"/>
    </row>
    <row r="51" spans="1:6">
      <c r="A51" s="7"/>
      <c r="B51" s="8"/>
      <c r="C51" s="7"/>
      <c r="D51" s="7"/>
      <c r="E51" s="7"/>
      <c r="F51" s="7"/>
    </row>
    <row r="52" spans="1:6">
      <c r="A52" s="7"/>
      <c r="B52" s="8"/>
      <c r="C52" s="7"/>
      <c r="D52" s="7"/>
      <c r="E52" s="7"/>
      <c r="F52" s="7"/>
    </row>
    <row r="53" spans="1:6">
      <c r="A53" s="7"/>
      <c r="B53" s="8"/>
      <c r="C53" s="7"/>
      <c r="D53" s="7"/>
      <c r="E53" s="7"/>
      <c r="F53" s="7"/>
    </row>
    <row r="54" spans="1:6">
      <c r="A54" s="7"/>
      <c r="B54" s="8"/>
      <c r="C54" s="7"/>
      <c r="D54" s="7"/>
      <c r="E54" s="7"/>
      <c r="F54" s="7"/>
    </row>
    <row r="55" spans="1:6">
      <c r="A55" s="7"/>
      <c r="B55" s="8"/>
      <c r="C55" s="7"/>
      <c r="D55" s="7"/>
      <c r="E55" s="7"/>
      <c r="F55" s="7"/>
    </row>
  </sheetData>
  <mergeCells count="1">
    <mergeCell ref="B2:E2"/>
  </mergeCell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3"/>
  <sheetViews>
    <sheetView showGridLines="0" view="pageBreakPreview" zoomScale="70" zoomScaleNormal="100" zoomScaleSheetLayoutView="70" workbookViewId="0">
      <selection activeCell="D7" sqref="D7"/>
    </sheetView>
  </sheetViews>
  <sheetFormatPr defaultColWidth="9.109375" defaultRowHeight="13.2"/>
  <cols>
    <col min="1" max="1" width="5.44140625" style="9" customWidth="1"/>
    <col min="2" max="2" width="10.5546875" style="9" customWidth="1"/>
    <col min="3" max="4" width="14" style="9" customWidth="1"/>
    <col min="5" max="5" width="24.88671875" style="9" customWidth="1"/>
    <col min="6" max="6" width="12.88671875" style="9" customWidth="1"/>
    <col min="7" max="7" width="17.109375" style="9" customWidth="1"/>
    <col min="8" max="8" width="23.88671875" style="9" customWidth="1"/>
    <col min="9" max="9" width="22.33203125" style="9" customWidth="1"/>
    <col min="10" max="10" width="21" style="9" customWidth="1"/>
    <col min="11" max="11" width="12.109375" style="9" customWidth="1"/>
    <col min="12" max="12" width="2.5546875" style="9" customWidth="1"/>
    <col min="13" max="16384" width="9.109375" style="9"/>
  </cols>
  <sheetData>
    <row r="2" spans="2:11" ht="12.75" customHeight="1">
      <c r="B2" s="185" t="s">
        <v>127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 s="20" customFormat="1" ht="18" customHeight="1"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2:11" s="20" customFormat="1" ht="18" customHeight="1"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2:11" s="20" customFormat="1" ht="15.6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1" ht="15.6">
      <c r="B6" s="22" t="s">
        <v>128</v>
      </c>
      <c r="C6" s="23"/>
      <c r="D6" s="23"/>
      <c r="E6" s="23"/>
      <c r="F6" s="23"/>
      <c r="G6" s="23"/>
      <c r="H6" s="23"/>
      <c r="I6" s="23"/>
      <c r="J6" s="23"/>
      <c r="K6" s="23"/>
    </row>
    <row r="7" spans="2:11" ht="39.6">
      <c r="B7" s="24" t="s">
        <v>24</v>
      </c>
      <c r="C7" s="24" t="s">
        <v>18</v>
      </c>
      <c r="D7" s="24" t="s">
        <v>17</v>
      </c>
      <c r="E7" s="24" t="s">
        <v>23</v>
      </c>
      <c r="F7" s="24" t="s">
        <v>22</v>
      </c>
      <c r="G7" s="24" t="s">
        <v>16</v>
      </c>
      <c r="H7" s="24" t="s">
        <v>15</v>
      </c>
      <c r="I7" s="24" t="s">
        <v>14</v>
      </c>
      <c r="J7" s="24" t="s">
        <v>13</v>
      </c>
      <c r="K7" s="24" t="s">
        <v>11</v>
      </c>
    </row>
    <row r="8" spans="2:11">
      <c r="B8" s="25" t="s">
        <v>43</v>
      </c>
      <c r="C8" s="25">
        <v>571.99397411892653</v>
      </c>
      <c r="D8" s="25">
        <v>680.47013902897675</v>
      </c>
      <c r="E8" s="25">
        <v>14821.50117709153</v>
      </c>
      <c r="F8" s="25">
        <v>10478.559389956661</v>
      </c>
      <c r="G8" s="25">
        <v>13001.90946073283</v>
      </c>
      <c r="H8" s="25">
        <v>12269.746417456601</v>
      </c>
      <c r="I8" s="25">
        <v>11919.976573460204</v>
      </c>
      <c r="J8" s="25">
        <v>6269.7319954081167</v>
      </c>
      <c r="K8" s="25">
        <v>49.549179337806287</v>
      </c>
    </row>
    <row r="9" spans="2:11">
      <c r="B9" s="25" t="s">
        <v>45</v>
      </c>
      <c r="C9" s="25">
        <v>474.6912349756999</v>
      </c>
      <c r="D9" s="25">
        <v>567.47764214401639</v>
      </c>
      <c r="E9" s="25">
        <v>12177.687870880018</v>
      </c>
      <c r="F9" s="25">
        <v>8491.4265888101363</v>
      </c>
      <c r="G9" s="25">
        <v>10633.236598099124</v>
      </c>
      <c r="H9" s="25">
        <v>10002.300515165998</v>
      </c>
      <c r="I9" s="25">
        <v>9705.508806618891</v>
      </c>
      <c r="J9" s="25">
        <v>5151.5015633070425</v>
      </c>
      <c r="K9" s="25">
        <v>40.091364630669254</v>
      </c>
    </row>
    <row r="10" spans="2:11">
      <c r="B10" s="25" t="s">
        <v>48</v>
      </c>
      <c r="C10" s="25">
        <v>647.21943034180663</v>
      </c>
      <c r="D10" s="25">
        <v>768.6391356017491</v>
      </c>
      <c r="E10" s="25">
        <v>16902.095243575848</v>
      </c>
      <c r="F10" s="25">
        <v>12042.046167677341</v>
      </c>
      <c r="G10" s="25">
        <v>14865.842890905311</v>
      </c>
      <c r="H10" s="25">
        <v>14050.349005011376</v>
      </c>
      <c r="I10" s="25">
        <v>13658.860178932999</v>
      </c>
      <c r="J10" s="25">
        <v>7147.6314871418126</v>
      </c>
      <c r="K10" s="25">
        <v>56.646993479620789</v>
      </c>
    </row>
    <row r="11" spans="2:11">
      <c r="B11" s="25" t="s">
        <v>51</v>
      </c>
      <c r="C11" s="25">
        <v>745.430784627702</v>
      </c>
      <c r="D11" s="25">
        <v>884.29364635321576</v>
      </c>
      <c r="E11" s="25">
        <v>19602.468818719419</v>
      </c>
      <c r="F11" s="25">
        <v>14091.941744298951</v>
      </c>
      <c r="G11" s="25">
        <v>17293.644778759044</v>
      </c>
      <c r="H11" s="25">
        <v>16373.554097268101</v>
      </c>
      <c r="I11" s="25">
        <v>15929.577345407193</v>
      </c>
      <c r="J11" s="25">
        <v>8297.0103064255181</v>
      </c>
      <c r="K11" s="25">
        <v>65.830755356977306</v>
      </c>
    </row>
    <row r="12" spans="2:11">
      <c r="B12" s="25" t="s">
        <v>54</v>
      </c>
      <c r="C12" s="25">
        <v>593.37255434417978</v>
      </c>
      <c r="D12" s="25">
        <v>701.17163992273606</v>
      </c>
      <c r="E12" s="25">
        <v>15248.930154138383</v>
      </c>
      <c r="F12" s="25">
        <v>10816.343214082581</v>
      </c>
      <c r="G12" s="25">
        <v>13391.781829419022</v>
      </c>
      <c r="H12" s="25">
        <v>12645.275723689445</v>
      </c>
      <c r="I12" s="25">
        <v>12288.322376578792</v>
      </c>
      <c r="J12" s="25">
        <v>6618.242799480473</v>
      </c>
      <c r="K12" s="25">
        <v>51.226586070440803</v>
      </c>
    </row>
    <row r="13" spans="2:11">
      <c r="B13" s="25" t="s">
        <v>57</v>
      </c>
      <c r="C13" s="25">
        <v>668.59801056705999</v>
      </c>
      <c r="D13" s="25">
        <v>789.34063649550853</v>
      </c>
      <c r="E13" s="25">
        <v>17329.524220622694</v>
      </c>
      <c r="F13" s="25">
        <v>12379.829991803268</v>
      </c>
      <c r="G13" s="25">
        <v>15255.715259591501</v>
      </c>
      <c r="H13" s="25">
        <v>14425.878311244223</v>
      </c>
      <c r="I13" s="25">
        <v>14027.205982051582</v>
      </c>
      <c r="J13" s="25">
        <v>7496.1422912141697</v>
      </c>
      <c r="K13" s="25">
        <v>58.324400212255327</v>
      </c>
    </row>
    <row r="14" spans="2:11">
      <c r="B14" s="25" t="s">
        <v>60</v>
      </c>
      <c r="C14" s="25">
        <v>766.80936485295558</v>
      </c>
      <c r="D14" s="25">
        <v>904.99514724697519</v>
      </c>
      <c r="E14" s="25">
        <v>20029.897795766272</v>
      </c>
      <c r="F14" s="25">
        <v>14429.725568424874</v>
      </c>
      <c r="G14" s="25">
        <v>17683.517147445233</v>
      </c>
      <c r="H14" s="25">
        <v>16749.083403500947</v>
      </c>
      <c r="I14" s="25">
        <v>16297.923148525777</v>
      </c>
      <c r="J14" s="25">
        <v>8645.5211104978771</v>
      </c>
      <c r="K14" s="25">
        <v>67.50816208961183</v>
      </c>
    </row>
    <row r="15" spans="2:11">
      <c r="B15" s="25" t="s">
        <v>63</v>
      </c>
      <c r="C15" s="25">
        <v>766.80936485295558</v>
      </c>
      <c r="D15" s="25">
        <v>904.99514724697519</v>
      </c>
      <c r="E15" s="25">
        <v>20029.897795766272</v>
      </c>
      <c r="F15" s="25">
        <v>14429.725568424874</v>
      </c>
      <c r="G15" s="25">
        <v>17683.517147445233</v>
      </c>
      <c r="H15" s="25">
        <v>16749.083403500947</v>
      </c>
      <c r="I15" s="25">
        <v>16297.923148525777</v>
      </c>
      <c r="J15" s="25">
        <v>8645.5211104978771</v>
      </c>
      <c r="K15" s="25">
        <v>67.50816208961183</v>
      </c>
    </row>
    <row r="16" spans="2:11">
      <c r="B16" s="25" t="s">
        <v>66</v>
      </c>
      <c r="C16" s="25">
        <v>668.59801056705999</v>
      </c>
      <c r="D16" s="25">
        <v>789.34063649550853</v>
      </c>
      <c r="E16" s="25">
        <v>17329.524220622694</v>
      </c>
      <c r="F16" s="25">
        <v>12379.829991803268</v>
      </c>
      <c r="G16" s="25">
        <v>15255.715259591501</v>
      </c>
      <c r="H16" s="25">
        <v>14425.878311244223</v>
      </c>
      <c r="I16" s="25">
        <v>14027.205982051582</v>
      </c>
      <c r="J16" s="25">
        <v>7496.1422912141697</v>
      </c>
      <c r="K16" s="25">
        <v>58.324400212255327</v>
      </c>
    </row>
    <row r="17" spans="2:11">
      <c r="B17" s="25" t="s">
        <v>69</v>
      </c>
      <c r="C17" s="25">
        <v>884.09324757299885</v>
      </c>
      <c r="D17" s="25">
        <v>1044.0734523062429</v>
      </c>
      <c r="E17" s="25">
        <v>22868.034479141672</v>
      </c>
      <c r="F17" s="25">
        <v>16562.9149598324</v>
      </c>
      <c r="G17" s="25">
        <v>20226.290242111962</v>
      </c>
      <c r="H17" s="25">
        <v>19183.189237578084</v>
      </c>
      <c r="I17" s="25">
        <v>18675.156892095536</v>
      </c>
      <c r="J17" s="25">
        <v>9845.9427901816707</v>
      </c>
      <c r="K17" s="25">
        <v>77.661137264457778</v>
      </c>
    </row>
    <row r="18" spans="2:11">
      <c r="B18" s="25" t="s">
        <v>72</v>
      </c>
      <c r="C18" s="25">
        <v>884.09324757299885</v>
      </c>
      <c r="D18" s="25">
        <v>1044.0734523062429</v>
      </c>
      <c r="E18" s="25">
        <v>22868.034479141672</v>
      </c>
      <c r="F18" s="25">
        <v>16562.9149598324</v>
      </c>
      <c r="G18" s="25">
        <v>20226.290242111962</v>
      </c>
      <c r="H18" s="25">
        <v>19183.189237578084</v>
      </c>
      <c r="I18" s="25">
        <v>18675.156892095536</v>
      </c>
      <c r="J18" s="25">
        <v>9845.9427901816707</v>
      </c>
      <c r="K18" s="25">
        <v>77.661137264457778</v>
      </c>
    </row>
    <row r="19" spans="2:11">
      <c r="B19" s="25" t="s">
        <v>75</v>
      </c>
      <c r="C19" s="25">
        <v>1014.334108802866</v>
      </c>
      <c r="D19" s="25">
        <v>1200.8365929859503</v>
      </c>
      <c r="E19" s="25">
        <v>26240.873511255697</v>
      </c>
      <c r="F19" s="25">
        <v>19097.995276568232</v>
      </c>
      <c r="G19" s="25">
        <v>23248.119456236167</v>
      </c>
      <c r="H19" s="25">
        <v>22075.87837885927</v>
      </c>
      <c r="I19" s="25">
        <v>21500.259293166233</v>
      </c>
      <c r="J19" s="25">
        <v>11272.522813599744</v>
      </c>
      <c r="K19" s="25">
        <v>89.726923652546205</v>
      </c>
    </row>
    <row r="20" spans="2:11">
      <c r="B20" s="25" t="s">
        <v>78</v>
      </c>
      <c r="C20" s="25">
        <v>1348.0682943544439</v>
      </c>
      <c r="D20" s="25">
        <v>1588.954260521155</v>
      </c>
      <c r="E20" s="25">
        <v>35305.292510556625</v>
      </c>
      <c r="F20" s="25">
        <v>25910.959064339404</v>
      </c>
      <c r="G20" s="25">
        <v>31369.208509211734</v>
      </c>
      <c r="H20" s="25">
        <v>29849.906775010186</v>
      </c>
      <c r="I20" s="25">
        <v>29092.650046301358</v>
      </c>
      <c r="J20" s="25">
        <v>15106.420294378411</v>
      </c>
      <c r="K20" s="25">
        <v>122.15341727893914</v>
      </c>
    </row>
    <row r="21" spans="2:11">
      <c r="B21" s="25" t="s">
        <v>81</v>
      </c>
      <c r="C21" s="25">
        <v>1041.0787560358467</v>
      </c>
      <c r="D21" s="25">
        <v>1245.6067738180627</v>
      </c>
      <c r="E21" s="25">
        <v>26775.588028675724</v>
      </c>
      <c r="F21" s="25">
        <v>19520.563525819118</v>
      </c>
      <c r="G21" s="25">
        <v>23735.850580405109</v>
      </c>
      <c r="H21" s="25">
        <v>22545.66630280099</v>
      </c>
      <c r="I21" s="25">
        <v>21961.060640138683</v>
      </c>
      <c r="J21" s="25">
        <v>11708.510536525673</v>
      </c>
      <c r="K21" s="25">
        <v>91.825362878063331</v>
      </c>
    </row>
    <row r="22" spans="2:11">
      <c r="B22" s="25" t="s">
        <v>84</v>
      </c>
      <c r="C22" s="25">
        <v>1041.0787560358467</v>
      </c>
      <c r="D22" s="25">
        <v>1245.6067738180627</v>
      </c>
      <c r="E22" s="25">
        <v>26775.588028675724</v>
      </c>
      <c r="F22" s="25">
        <v>19520.563525819118</v>
      </c>
      <c r="G22" s="25">
        <v>23735.850580405109</v>
      </c>
      <c r="H22" s="25">
        <v>22545.66630280099</v>
      </c>
      <c r="I22" s="25">
        <v>21961.060640138683</v>
      </c>
      <c r="J22" s="25">
        <v>11708.510536525673</v>
      </c>
      <c r="K22" s="25">
        <v>91.825362878063331</v>
      </c>
    </row>
    <row r="23" spans="2:11">
      <c r="B23" s="25" t="s">
        <v>87</v>
      </c>
      <c r="C23" s="25">
        <v>1374.8129415874246</v>
      </c>
      <c r="D23" s="25">
        <v>1633.7244413532671</v>
      </c>
      <c r="E23" s="25">
        <v>35840.007027976651</v>
      </c>
      <c r="F23" s="25">
        <v>26333.52731359029</v>
      </c>
      <c r="G23" s="25">
        <v>31856.93963338068</v>
      </c>
      <c r="H23" s="25">
        <v>30319.694698951913</v>
      </c>
      <c r="I23" s="25">
        <v>29553.451393273812</v>
      </c>
      <c r="J23" s="25">
        <v>15542.408017304346</v>
      </c>
      <c r="K23" s="25">
        <v>124.25185650445627</v>
      </c>
    </row>
    <row r="24" spans="2:11">
      <c r="B24" s="25" t="s">
        <v>90</v>
      </c>
      <c r="C24" s="25">
        <v>1778.3651805695345</v>
      </c>
      <c r="D24" s="25">
        <v>2102.3481975559107</v>
      </c>
      <c r="E24" s="25">
        <v>46804.927322788477</v>
      </c>
      <c r="F24" s="25">
        <v>34574.938584418764</v>
      </c>
      <c r="G24" s="25">
        <v>41680.745679837019</v>
      </c>
      <c r="H24" s="25">
        <v>39723.673237452058</v>
      </c>
      <c r="I24" s="25">
        <v>38737.709034233892</v>
      </c>
      <c r="J24" s="25">
        <v>20180.143794794352</v>
      </c>
      <c r="K24" s="25">
        <v>163.47708628267429</v>
      </c>
    </row>
    <row r="25" spans="2:11">
      <c r="B25" s="25" t="s">
        <v>93</v>
      </c>
      <c r="C25" s="25">
        <v>474.6912349756999</v>
      </c>
      <c r="D25" s="25">
        <v>538.50161036829388</v>
      </c>
      <c r="E25" s="25">
        <v>12177.687870880018</v>
      </c>
      <c r="F25" s="25">
        <v>8491.4265888101363</v>
      </c>
      <c r="G25" s="25">
        <v>10633.236598099124</v>
      </c>
      <c r="H25" s="25">
        <v>10002.300515165998</v>
      </c>
      <c r="I25" s="25">
        <v>9705.508806618891</v>
      </c>
      <c r="J25" s="25">
        <v>5151.5015633070425</v>
      </c>
      <c r="K25" s="25">
        <v>40.091364630669254</v>
      </c>
    </row>
    <row r="26" spans="2:11">
      <c r="B26" s="25" t="s">
        <v>96</v>
      </c>
      <c r="C26" s="25">
        <v>474.6912349756999</v>
      </c>
      <c r="D26" s="25">
        <v>538.50161036829388</v>
      </c>
      <c r="E26" s="25">
        <v>12177.687870880018</v>
      </c>
      <c r="F26" s="25">
        <v>8491.4265888101363</v>
      </c>
      <c r="G26" s="25">
        <v>10633.236598099124</v>
      </c>
      <c r="H26" s="25">
        <v>10002.300515165998</v>
      </c>
      <c r="I26" s="25">
        <v>9705.508806618891</v>
      </c>
      <c r="J26" s="25">
        <v>5151.5015633070425</v>
      </c>
      <c r="K26" s="25">
        <v>40.091364630669254</v>
      </c>
    </row>
    <row r="27" spans="2:11">
      <c r="B27" s="25" t="s">
        <v>99</v>
      </c>
      <c r="C27" s="25">
        <v>571.99397411892653</v>
      </c>
      <c r="D27" s="25">
        <v>644.65494452607163</v>
      </c>
      <c r="E27" s="25">
        <v>14821.50117709153</v>
      </c>
      <c r="F27" s="25">
        <v>10478.559389956661</v>
      </c>
      <c r="G27" s="25">
        <v>13001.90946073283</v>
      </c>
      <c r="H27" s="25">
        <v>12269.746417456601</v>
      </c>
      <c r="I27" s="25">
        <v>11919.976573460204</v>
      </c>
      <c r="J27" s="25">
        <v>6269.7319954081167</v>
      </c>
      <c r="K27" s="25">
        <v>49.549179337806287</v>
      </c>
    </row>
    <row r="28" spans="2:11">
      <c r="B28" s="25" t="s">
        <v>102</v>
      </c>
      <c r="C28" s="25">
        <v>668.59801056705999</v>
      </c>
      <c r="D28" s="25">
        <v>747.11260463240728</v>
      </c>
      <c r="E28" s="25">
        <v>17329.524220622694</v>
      </c>
      <c r="F28" s="25">
        <v>12379.829991803268</v>
      </c>
      <c r="G28" s="25">
        <v>15255.715259591501</v>
      </c>
      <c r="H28" s="25">
        <v>14425.878311244223</v>
      </c>
      <c r="I28" s="25">
        <v>14027.205982051582</v>
      </c>
      <c r="J28" s="25">
        <v>7496.1422912141697</v>
      </c>
      <c r="K28" s="25">
        <v>58.324400212255327</v>
      </c>
    </row>
    <row r="29" spans="2:11">
      <c r="B29" s="25" t="s">
        <v>105</v>
      </c>
      <c r="C29" s="25">
        <v>593.37255434417978</v>
      </c>
      <c r="D29" s="25">
        <v>664.32908068793222</v>
      </c>
      <c r="E29" s="25">
        <v>15248.930154138383</v>
      </c>
      <c r="F29" s="25">
        <v>10816.343214082581</v>
      </c>
      <c r="G29" s="25">
        <v>13391.781829419022</v>
      </c>
      <c r="H29" s="25">
        <v>12645.275723689445</v>
      </c>
      <c r="I29" s="25">
        <v>12288.322376578792</v>
      </c>
      <c r="J29" s="25">
        <v>6618.242799480473</v>
      </c>
      <c r="K29" s="25">
        <v>51.226586070440803</v>
      </c>
    </row>
    <row r="30" spans="2:11">
      <c r="B30" s="25" t="s">
        <v>108</v>
      </c>
      <c r="C30" s="25">
        <v>766.80936485295558</v>
      </c>
      <c r="D30" s="25">
        <v>855.65718151648264</v>
      </c>
      <c r="E30" s="25">
        <v>20029.897795766272</v>
      </c>
      <c r="F30" s="25">
        <v>14429.725568424874</v>
      </c>
      <c r="G30" s="25">
        <v>17683.517147445233</v>
      </c>
      <c r="H30" s="25">
        <v>16749.083403500947</v>
      </c>
      <c r="I30" s="25">
        <v>16297.923148525777</v>
      </c>
      <c r="J30" s="25">
        <v>8645.5211104978771</v>
      </c>
      <c r="K30" s="25">
        <v>67.50816208961183</v>
      </c>
    </row>
    <row r="31" spans="2:11">
      <c r="B31" s="25" t="s">
        <v>111</v>
      </c>
      <c r="C31" s="25">
        <v>766.80936485295558</v>
      </c>
      <c r="D31" s="25">
        <v>855.65718151648264</v>
      </c>
      <c r="E31" s="25">
        <v>20029.897795766272</v>
      </c>
      <c r="F31" s="25">
        <v>14429.725568424874</v>
      </c>
      <c r="G31" s="25">
        <v>17683.517147445233</v>
      </c>
      <c r="H31" s="25">
        <v>16749.083403500947</v>
      </c>
      <c r="I31" s="25">
        <v>16297.923148525777</v>
      </c>
      <c r="J31" s="25">
        <v>8645.5211104978771</v>
      </c>
      <c r="K31" s="25">
        <v>67.50816208961183</v>
      </c>
    </row>
    <row r="32" spans="2:11">
      <c r="B32" s="25" t="s">
        <v>114</v>
      </c>
      <c r="C32" s="25">
        <v>884.09324757299885</v>
      </c>
      <c r="D32" s="25">
        <v>986.05875569746524</v>
      </c>
      <c r="E32" s="25">
        <v>22868.034479141672</v>
      </c>
      <c r="F32" s="25">
        <v>16562.9149598324</v>
      </c>
      <c r="G32" s="25">
        <v>20226.290242111962</v>
      </c>
      <c r="H32" s="25">
        <v>19183.189237578084</v>
      </c>
      <c r="I32" s="25">
        <v>18675.156892095536</v>
      </c>
      <c r="J32" s="25">
        <v>9845.9427901816707</v>
      </c>
      <c r="K32" s="25">
        <v>77.661137264457778</v>
      </c>
    </row>
    <row r="33" spans="2:11">
      <c r="B33" s="25" t="s">
        <v>117</v>
      </c>
      <c r="C33" s="25">
        <v>1194.6789441377532</v>
      </c>
      <c r="D33" s="25">
        <v>1329.5987890834976</v>
      </c>
      <c r="E33" s="25">
        <v>31137.549560000065</v>
      </c>
      <c r="F33" s="25">
        <v>22778.416118004927</v>
      </c>
      <c r="G33" s="25">
        <v>27635.200664473843</v>
      </c>
      <c r="H33" s="25">
        <v>26275.474475710784</v>
      </c>
      <c r="I33" s="25">
        <v>25601.733194190914</v>
      </c>
      <c r="J33" s="25">
        <v>13343.62676068319</v>
      </c>
      <c r="K33" s="25">
        <v>107.24399062588078</v>
      </c>
    </row>
    <row r="34" spans="2:11">
      <c r="B34" s="25" t="s">
        <v>120</v>
      </c>
      <c r="C34" s="25">
        <v>1194.6789441377532</v>
      </c>
      <c r="D34" s="25">
        <v>1329.5987890834976</v>
      </c>
      <c r="E34" s="25">
        <v>31137.549560000065</v>
      </c>
      <c r="F34" s="25">
        <v>22778.416118004927</v>
      </c>
      <c r="G34" s="25">
        <v>27635.200664473843</v>
      </c>
      <c r="H34" s="25">
        <v>26275.474475710784</v>
      </c>
      <c r="I34" s="25">
        <v>25601.733194190914</v>
      </c>
      <c r="J34" s="25">
        <v>13343.62676068319</v>
      </c>
      <c r="K34" s="25">
        <v>107.24399062588078</v>
      </c>
    </row>
    <row r="35" spans="2:11">
      <c r="B35" s="25" t="s">
        <v>123</v>
      </c>
      <c r="C35" s="25">
        <v>1374.8129415874246</v>
      </c>
      <c r="D35" s="25">
        <v>1539.7744228549168</v>
      </c>
      <c r="E35" s="25">
        <v>35840.007027976651</v>
      </c>
      <c r="F35" s="25">
        <v>26333.52731359029</v>
      </c>
      <c r="G35" s="25">
        <v>31856.93963338068</v>
      </c>
      <c r="H35" s="25">
        <v>30319.694698951913</v>
      </c>
      <c r="I35" s="25">
        <v>29553.451393273812</v>
      </c>
      <c r="J35" s="25">
        <v>15542.408017304346</v>
      </c>
      <c r="K35" s="25">
        <v>124.25185650445627</v>
      </c>
    </row>
    <row r="36" spans="2:11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5.6">
      <c r="B37" s="22" t="s">
        <v>25</v>
      </c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39.6">
      <c r="B38" s="24" t="s">
        <v>24</v>
      </c>
      <c r="C38" s="24" t="s">
        <v>18</v>
      </c>
      <c r="D38" s="24" t="s">
        <v>17</v>
      </c>
      <c r="E38" s="24" t="s">
        <v>23</v>
      </c>
      <c r="F38" s="24" t="s">
        <v>22</v>
      </c>
      <c r="G38" s="24" t="s">
        <v>16</v>
      </c>
      <c r="H38" s="24" t="s">
        <v>15</v>
      </c>
      <c r="I38" s="24" t="s">
        <v>14</v>
      </c>
      <c r="J38" s="24" t="s">
        <v>13</v>
      </c>
      <c r="K38" s="24" t="s">
        <v>11</v>
      </c>
    </row>
    <row r="39" spans="2:11">
      <c r="B39" s="25" t="s">
        <v>43</v>
      </c>
      <c r="C39" s="26">
        <v>2.820815613437918E-2</v>
      </c>
      <c r="D39" s="26">
        <v>3.3735760698629692E-2</v>
      </c>
      <c r="E39" s="26">
        <v>6.8722157405500788E-3</v>
      </c>
      <c r="F39" s="26">
        <v>6.8722157405500788E-3</v>
      </c>
      <c r="G39" s="26">
        <v>9.1067903035961604E-3</v>
      </c>
      <c r="H39" s="26">
        <v>3.0234562960088046E-3</v>
      </c>
      <c r="I39" s="26">
        <v>1.0782863522473039E-3</v>
      </c>
      <c r="J39" s="26">
        <v>1.0782863522473039E-3</v>
      </c>
      <c r="K39" s="27">
        <v>0</v>
      </c>
    </row>
    <row r="40" spans="2:11">
      <c r="B40" s="25" t="s">
        <v>45</v>
      </c>
      <c r="C40" s="26">
        <v>2.820815613437918E-2</v>
      </c>
      <c r="D40" s="26">
        <v>3.3735760698629692E-2</v>
      </c>
      <c r="E40" s="26">
        <v>6.8722157405500788E-3</v>
      </c>
      <c r="F40" s="26">
        <v>6.8722157405500788E-3</v>
      </c>
      <c r="G40" s="26">
        <v>9.1067903035961604E-3</v>
      </c>
      <c r="H40" s="26">
        <v>3.0234562960088046E-3</v>
      </c>
      <c r="I40" s="26">
        <v>1.0782863522473039E-3</v>
      </c>
      <c r="J40" s="26">
        <v>1.0782863522473039E-3</v>
      </c>
      <c r="K40" s="27">
        <v>0</v>
      </c>
    </row>
    <row r="41" spans="2:11">
      <c r="B41" s="25" t="s">
        <v>48</v>
      </c>
      <c r="C41" s="26">
        <v>2.820815613437918E-2</v>
      </c>
      <c r="D41" s="26">
        <v>3.3735760698629692E-2</v>
      </c>
      <c r="E41" s="26">
        <v>6.8722157405500788E-3</v>
      </c>
      <c r="F41" s="26">
        <v>6.8722157405500788E-3</v>
      </c>
      <c r="G41" s="26">
        <v>9.1067903035961604E-3</v>
      </c>
      <c r="H41" s="26">
        <v>3.0234562960088046E-3</v>
      </c>
      <c r="I41" s="26">
        <v>1.0782863522473039E-3</v>
      </c>
      <c r="J41" s="26">
        <v>1.0782863522473039E-3</v>
      </c>
      <c r="K41" s="27">
        <v>0</v>
      </c>
    </row>
    <row r="42" spans="2:11">
      <c r="B42" s="25" t="s">
        <v>51</v>
      </c>
      <c r="C42" s="26">
        <v>2.820815613437918E-2</v>
      </c>
      <c r="D42" s="26">
        <v>3.3735760698629692E-2</v>
      </c>
      <c r="E42" s="26">
        <v>6.8722157405500788E-3</v>
      </c>
      <c r="F42" s="26">
        <v>6.8722157405500788E-3</v>
      </c>
      <c r="G42" s="26">
        <v>9.1067903035961604E-3</v>
      </c>
      <c r="H42" s="26">
        <v>3.0234562960088046E-3</v>
      </c>
      <c r="I42" s="26">
        <v>1.0782863522473039E-3</v>
      </c>
      <c r="J42" s="26">
        <v>1.0782863522473039E-3</v>
      </c>
      <c r="K42" s="27">
        <v>0</v>
      </c>
    </row>
    <row r="43" spans="2:11">
      <c r="B43" s="25" t="s">
        <v>54</v>
      </c>
      <c r="C43" s="26">
        <v>2.820815613437918E-2</v>
      </c>
      <c r="D43" s="26">
        <v>3.3735760698629692E-2</v>
      </c>
      <c r="E43" s="26">
        <v>6.8722157405500788E-3</v>
      </c>
      <c r="F43" s="26">
        <v>6.8722157405500788E-3</v>
      </c>
      <c r="G43" s="26">
        <v>9.1067903035961604E-3</v>
      </c>
      <c r="H43" s="26">
        <v>3.0234562960088046E-3</v>
      </c>
      <c r="I43" s="26">
        <v>1.0782863522473039E-3</v>
      </c>
      <c r="J43" s="26">
        <v>1.0782863522473039E-3</v>
      </c>
      <c r="K43" s="27">
        <v>0</v>
      </c>
    </row>
    <row r="44" spans="2:11">
      <c r="B44" s="25" t="s">
        <v>57</v>
      </c>
      <c r="C44" s="26">
        <v>2.820815613437918E-2</v>
      </c>
      <c r="D44" s="26">
        <v>3.3735760698629692E-2</v>
      </c>
      <c r="E44" s="26">
        <v>6.8722157405500788E-3</v>
      </c>
      <c r="F44" s="26">
        <v>6.8722157405500788E-3</v>
      </c>
      <c r="G44" s="26">
        <v>9.1067903035961604E-3</v>
      </c>
      <c r="H44" s="26">
        <v>3.0234562960088046E-3</v>
      </c>
      <c r="I44" s="26">
        <v>1.0782863522473039E-3</v>
      </c>
      <c r="J44" s="26">
        <v>1.0782863522473039E-3</v>
      </c>
      <c r="K44" s="27">
        <v>0</v>
      </c>
    </row>
    <row r="45" spans="2:11">
      <c r="B45" s="25" t="s">
        <v>60</v>
      </c>
      <c r="C45" s="26">
        <v>2.820815613437918E-2</v>
      </c>
      <c r="D45" s="26">
        <v>3.3735760698629692E-2</v>
      </c>
      <c r="E45" s="26">
        <v>6.8722157405500788E-3</v>
      </c>
      <c r="F45" s="26">
        <v>6.8722157405500788E-3</v>
      </c>
      <c r="G45" s="26">
        <v>9.1067903035961604E-3</v>
      </c>
      <c r="H45" s="26">
        <v>3.0234562960088046E-3</v>
      </c>
      <c r="I45" s="26">
        <v>1.0782863522473039E-3</v>
      </c>
      <c r="J45" s="26">
        <v>1.0782863522473039E-3</v>
      </c>
      <c r="K45" s="27">
        <v>0</v>
      </c>
    </row>
    <row r="46" spans="2:11">
      <c r="B46" s="25" t="s">
        <v>63</v>
      </c>
      <c r="C46" s="26">
        <v>1.8961669639167379E-2</v>
      </c>
      <c r="D46" s="26">
        <v>3.3735760698629692E-2</v>
      </c>
      <c r="E46" s="26">
        <v>6.8722157405500788E-3</v>
      </c>
      <c r="F46" s="26">
        <v>6.8722157405500788E-3</v>
      </c>
      <c r="G46" s="26">
        <v>9.1067903035961604E-3</v>
      </c>
      <c r="H46" s="26">
        <v>3.0234562960088046E-3</v>
      </c>
      <c r="I46" s="26">
        <v>1.0782863522473039E-3</v>
      </c>
      <c r="J46" s="26">
        <v>1.0782863522473039E-3</v>
      </c>
      <c r="K46" s="27">
        <v>0</v>
      </c>
    </row>
    <row r="47" spans="2:11">
      <c r="B47" s="25" t="s">
        <v>66</v>
      </c>
      <c r="C47" s="26">
        <v>1.8961669639167379E-2</v>
      </c>
      <c r="D47" s="26">
        <v>3.3735760698629692E-2</v>
      </c>
      <c r="E47" s="26">
        <v>6.8722157405500788E-3</v>
      </c>
      <c r="F47" s="26">
        <v>6.8722157405500788E-3</v>
      </c>
      <c r="G47" s="26">
        <v>9.1067903035961604E-3</v>
      </c>
      <c r="H47" s="26">
        <v>3.0234562960088046E-3</v>
      </c>
      <c r="I47" s="26">
        <v>1.0782863522473039E-3</v>
      </c>
      <c r="J47" s="26">
        <v>1.0782863522473039E-3</v>
      </c>
      <c r="K47" s="27">
        <v>0</v>
      </c>
    </row>
    <row r="48" spans="2:11">
      <c r="B48" s="25" t="s">
        <v>69</v>
      </c>
      <c r="C48" s="26">
        <v>2.820815613437918E-2</v>
      </c>
      <c r="D48" s="26">
        <v>3.3735760698629692E-2</v>
      </c>
      <c r="E48" s="26">
        <v>6.8722157405500788E-3</v>
      </c>
      <c r="F48" s="26">
        <v>6.8722157405500788E-3</v>
      </c>
      <c r="G48" s="26">
        <v>9.1067903035961604E-3</v>
      </c>
      <c r="H48" s="26">
        <v>3.0234562960088046E-3</v>
      </c>
      <c r="I48" s="26">
        <v>1.0782863522473039E-3</v>
      </c>
      <c r="J48" s="26">
        <v>1.0782863522473039E-3</v>
      </c>
      <c r="K48" s="27">
        <v>0</v>
      </c>
    </row>
    <row r="49" spans="2:11">
      <c r="B49" s="25" t="s">
        <v>72</v>
      </c>
      <c r="C49" s="26">
        <v>1.8961669639167379E-2</v>
      </c>
      <c r="D49" s="26">
        <v>3.3735760698629692E-2</v>
      </c>
      <c r="E49" s="26">
        <v>6.8722157405500788E-3</v>
      </c>
      <c r="F49" s="26">
        <v>6.8722157405500788E-3</v>
      </c>
      <c r="G49" s="26">
        <v>9.1067903035961604E-3</v>
      </c>
      <c r="H49" s="26">
        <v>3.0234562960088046E-3</v>
      </c>
      <c r="I49" s="26">
        <v>1.0782863522473039E-3</v>
      </c>
      <c r="J49" s="26">
        <v>1.0782863522473039E-3</v>
      </c>
      <c r="K49" s="27">
        <v>0</v>
      </c>
    </row>
    <row r="50" spans="2:11">
      <c r="B50" s="25" t="s">
        <v>75</v>
      </c>
      <c r="C50" s="26">
        <v>2.820815613437918E-2</v>
      </c>
      <c r="D50" s="26">
        <v>3.3735760698629692E-2</v>
      </c>
      <c r="E50" s="26">
        <v>6.8722157405500788E-3</v>
      </c>
      <c r="F50" s="26">
        <v>6.8722157405500788E-3</v>
      </c>
      <c r="G50" s="26">
        <v>9.1067903035961604E-3</v>
      </c>
      <c r="H50" s="26">
        <v>3.0234562960088046E-3</v>
      </c>
      <c r="I50" s="26">
        <v>1.0782863522473039E-3</v>
      </c>
      <c r="J50" s="26">
        <v>1.0782863522473039E-3</v>
      </c>
      <c r="K50" s="27">
        <v>0</v>
      </c>
    </row>
    <row r="51" spans="2:11">
      <c r="B51" s="25" t="s">
        <v>78</v>
      </c>
      <c r="C51" s="26">
        <v>2.820815613437918E-2</v>
      </c>
      <c r="D51" s="26">
        <v>3.3735760698629692E-2</v>
      </c>
      <c r="E51" s="26">
        <v>6.8722157405500788E-3</v>
      </c>
      <c r="F51" s="26">
        <v>6.8722157405500788E-3</v>
      </c>
      <c r="G51" s="26">
        <v>9.1067903035961604E-3</v>
      </c>
      <c r="H51" s="26">
        <v>3.0234562960088046E-3</v>
      </c>
      <c r="I51" s="26">
        <v>1.0782863522473039E-3</v>
      </c>
      <c r="J51" s="26">
        <v>1.0782863522473039E-3</v>
      </c>
      <c r="K51" s="27">
        <v>0</v>
      </c>
    </row>
    <row r="52" spans="2:11">
      <c r="B52" s="25" t="s">
        <v>81</v>
      </c>
      <c r="C52" s="26">
        <v>2.820815613437918E-2</v>
      </c>
      <c r="D52" s="26">
        <v>3.3735760698629692E-2</v>
      </c>
      <c r="E52" s="26">
        <v>6.8722157405500788E-3</v>
      </c>
      <c r="F52" s="26">
        <v>6.8722157405500788E-3</v>
      </c>
      <c r="G52" s="26">
        <v>9.1067903035961604E-3</v>
      </c>
      <c r="H52" s="26">
        <v>3.0234562960088046E-3</v>
      </c>
      <c r="I52" s="26">
        <v>1.0782863522473039E-3</v>
      </c>
      <c r="J52" s="26">
        <v>1.0782863522473039E-3</v>
      </c>
      <c r="K52" s="27">
        <v>0</v>
      </c>
    </row>
    <row r="53" spans="2:11">
      <c r="B53" s="25" t="s">
        <v>84</v>
      </c>
      <c r="C53" s="26">
        <v>1.8961669639167379E-2</v>
      </c>
      <c r="D53" s="26">
        <v>3.3735760698629692E-2</v>
      </c>
      <c r="E53" s="26">
        <v>6.8722157405500788E-3</v>
      </c>
      <c r="F53" s="26">
        <v>6.8722157405500788E-3</v>
      </c>
      <c r="G53" s="26">
        <v>9.1067903035961604E-3</v>
      </c>
      <c r="H53" s="26">
        <v>3.0234562960088046E-3</v>
      </c>
      <c r="I53" s="26">
        <v>1.0782863522473039E-3</v>
      </c>
      <c r="J53" s="26">
        <v>1.0782863522473039E-3</v>
      </c>
      <c r="K53" s="27">
        <v>0</v>
      </c>
    </row>
    <row r="54" spans="2:11">
      <c r="B54" s="25" t="s">
        <v>87</v>
      </c>
      <c r="C54" s="26">
        <v>1.8961669639167379E-2</v>
      </c>
      <c r="D54" s="26">
        <v>3.3735760698629692E-2</v>
      </c>
      <c r="E54" s="26">
        <v>6.8722157405500788E-3</v>
      </c>
      <c r="F54" s="26">
        <v>6.8722157405500788E-3</v>
      </c>
      <c r="G54" s="26">
        <v>9.1067903035961604E-3</v>
      </c>
      <c r="H54" s="26">
        <v>3.0234562960088046E-3</v>
      </c>
      <c r="I54" s="26">
        <v>1.0782863522473039E-3</v>
      </c>
      <c r="J54" s="26">
        <v>1.0782863522473039E-3</v>
      </c>
      <c r="K54" s="27">
        <v>0</v>
      </c>
    </row>
    <row r="55" spans="2:11">
      <c r="B55" s="25" t="s">
        <v>90</v>
      </c>
      <c r="C55" s="26">
        <v>1.8961669639167379E-2</v>
      </c>
      <c r="D55" s="26">
        <v>3.3735760698629692E-2</v>
      </c>
      <c r="E55" s="26">
        <v>6.8722157405500788E-3</v>
      </c>
      <c r="F55" s="26">
        <v>6.8722157405500788E-3</v>
      </c>
      <c r="G55" s="26">
        <v>9.1067903035961604E-3</v>
      </c>
      <c r="H55" s="26">
        <v>3.0234562960088046E-3</v>
      </c>
      <c r="I55" s="26">
        <v>1.0782863522473039E-3</v>
      </c>
      <c r="J55" s="26">
        <v>1.0782863522473039E-3</v>
      </c>
      <c r="K55" s="27">
        <v>0</v>
      </c>
    </row>
    <row r="56" spans="2:11">
      <c r="B56" s="25" t="s">
        <v>93</v>
      </c>
      <c r="C56" s="26">
        <v>2.820815613437918E-2</v>
      </c>
      <c r="D56" s="26">
        <v>3.3735760698629692E-2</v>
      </c>
      <c r="E56" s="26">
        <v>6.8722157405500788E-3</v>
      </c>
      <c r="F56" s="26">
        <v>6.8722157405500788E-3</v>
      </c>
      <c r="G56" s="26">
        <v>9.1067903035961604E-3</v>
      </c>
      <c r="H56" s="26">
        <v>3.0234562960088046E-3</v>
      </c>
      <c r="I56" s="26">
        <v>1.0782863522473039E-3</v>
      </c>
      <c r="J56" s="26">
        <v>1.0782863522473039E-3</v>
      </c>
      <c r="K56" s="27">
        <v>0</v>
      </c>
    </row>
    <row r="57" spans="2:11">
      <c r="B57" s="25" t="s">
        <v>96</v>
      </c>
      <c r="C57" s="26">
        <v>1.8961669639167379E-2</v>
      </c>
      <c r="D57" s="26">
        <v>3.3735760698629692E-2</v>
      </c>
      <c r="E57" s="26">
        <v>6.8722157405500788E-3</v>
      </c>
      <c r="F57" s="26">
        <v>6.8722157405500788E-3</v>
      </c>
      <c r="G57" s="26">
        <v>9.1067903035961604E-3</v>
      </c>
      <c r="H57" s="26">
        <v>3.0234562960088046E-3</v>
      </c>
      <c r="I57" s="26">
        <v>1.0782863522473039E-3</v>
      </c>
      <c r="J57" s="26">
        <v>1.0782863522473039E-3</v>
      </c>
      <c r="K57" s="27">
        <v>0</v>
      </c>
    </row>
    <row r="58" spans="2:11">
      <c r="B58" s="25" t="s">
        <v>99</v>
      </c>
      <c r="C58" s="26">
        <v>2.820815613437918E-2</v>
      </c>
      <c r="D58" s="26">
        <v>3.3735760698629692E-2</v>
      </c>
      <c r="E58" s="26">
        <v>6.8722157405500788E-3</v>
      </c>
      <c r="F58" s="26">
        <v>6.8722157405500788E-3</v>
      </c>
      <c r="G58" s="26">
        <v>9.1067903035961604E-3</v>
      </c>
      <c r="H58" s="26">
        <v>3.0234562960088046E-3</v>
      </c>
      <c r="I58" s="26">
        <v>1.0782863522473039E-3</v>
      </c>
      <c r="J58" s="26">
        <v>1.0782863522473039E-3</v>
      </c>
      <c r="K58" s="27">
        <v>0</v>
      </c>
    </row>
    <row r="59" spans="2:11">
      <c r="B59" s="25" t="s">
        <v>102</v>
      </c>
      <c r="C59" s="26">
        <v>1.8961669639167379E-2</v>
      </c>
      <c r="D59" s="26">
        <v>3.3735760698629692E-2</v>
      </c>
      <c r="E59" s="26">
        <v>6.8722157405500788E-3</v>
      </c>
      <c r="F59" s="26">
        <v>6.8722157405500788E-3</v>
      </c>
      <c r="G59" s="26">
        <v>9.1067903035961604E-3</v>
      </c>
      <c r="H59" s="26">
        <v>3.0234562960088046E-3</v>
      </c>
      <c r="I59" s="26">
        <v>1.0782863522473039E-3</v>
      </c>
      <c r="J59" s="26">
        <v>1.0782863522473039E-3</v>
      </c>
      <c r="K59" s="27">
        <v>0</v>
      </c>
    </row>
    <row r="60" spans="2:11">
      <c r="B60" s="25" t="s">
        <v>105</v>
      </c>
      <c r="C60" s="26">
        <v>2.820815613437918E-2</v>
      </c>
      <c r="D60" s="26">
        <v>3.3735760698629692E-2</v>
      </c>
      <c r="E60" s="26">
        <v>6.8722157405500788E-3</v>
      </c>
      <c r="F60" s="26">
        <v>6.8722157405500788E-3</v>
      </c>
      <c r="G60" s="26">
        <v>9.1067903035961604E-3</v>
      </c>
      <c r="H60" s="26">
        <v>3.0234562960088046E-3</v>
      </c>
      <c r="I60" s="26">
        <v>1.0782863522473039E-3</v>
      </c>
      <c r="J60" s="26">
        <v>1.0782863522473039E-3</v>
      </c>
      <c r="K60" s="27">
        <v>0</v>
      </c>
    </row>
    <row r="61" spans="2:11">
      <c r="B61" s="25" t="s">
        <v>108</v>
      </c>
      <c r="C61" s="26">
        <v>1.8961669639167379E-2</v>
      </c>
      <c r="D61" s="26">
        <v>3.3735760698629692E-2</v>
      </c>
      <c r="E61" s="26">
        <v>6.8722157405500788E-3</v>
      </c>
      <c r="F61" s="26">
        <v>6.8722157405500788E-3</v>
      </c>
      <c r="G61" s="26">
        <v>9.1067903035961604E-3</v>
      </c>
      <c r="H61" s="26">
        <v>3.0234562960088046E-3</v>
      </c>
      <c r="I61" s="26">
        <v>1.0782863522473039E-3</v>
      </c>
      <c r="J61" s="26">
        <v>1.0782863522473039E-3</v>
      </c>
      <c r="K61" s="27">
        <v>0</v>
      </c>
    </row>
    <row r="62" spans="2:11">
      <c r="B62" s="25" t="s">
        <v>111</v>
      </c>
      <c r="C62" s="26">
        <v>2.820815613437918E-2</v>
      </c>
      <c r="D62" s="26">
        <v>3.3735760698629692E-2</v>
      </c>
      <c r="E62" s="26">
        <v>6.8722157405500788E-3</v>
      </c>
      <c r="F62" s="26">
        <v>6.8722157405500788E-3</v>
      </c>
      <c r="G62" s="26">
        <v>9.1067903035961604E-3</v>
      </c>
      <c r="H62" s="26">
        <v>3.0234562960088046E-3</v>
      </c>
      <c r="I62" s="26">
        <v>1.0782863522473039E-3</v>
      </c>
      <c r="J62" s="26">
        <v>1.0782863522473039E-3</v>
      </c>
      <c r="K62" s="27">
        <v>0</v>
      </c>
    </row>
    <row r="63" spans="2:11">
      <c r="B63" s="25" t="s">
        <v>114</v>
      </c>
      <c r="C63" s="26">
        <v>2.820815613437918E-2</v>
      </c>
      <c r="D63" s="26">
        <v>3.3735760698629692E-2</v>
      </c>
      <c r="E63" s="26">
        <v>6.8722157405500788E-3</v>
      </c>
      <c r="F63" s="26">
        <v>6.8722157405500788E-3</v>
      </c>
      <c r="G63" s="26">
        <v>9.1067903035961604E-3</v>
      </c>
      <c r="H63" s="26">
        <v>3.0234562960088046E-3</v>
      </c>
      <c r="I63" s="26">
        <v>1.0782863522473039E-3</v>
      </c>
      <c r="J63" s="26">
        <v>1.0782863522473039E-3</v>
      </c>
      <c r="K63" s="27">
        <v>0</v>
      </c>
    </row>
    <row r="64" spans="2:11">
      <c r="B64" s="25" t="s">
        <v>117</v>
      </c>
      <c r="C64" s="26">
        <v>1.8110025655375481E-2</v>
      </c>
      <c r="D64" s="26">
        <v>3.3735760698629692E-2</v>
      </c>
      <c r="E64" s="26">
        <v>6.8722157405500788E-3</v>
      </c>
      <c r="F64" s="26">
        <v>6.8722157405500788E-3</v>
      </c>
      <c r="G64" s="26">
        <v>9.1067903035961604E-3</v>
      </c>
      <c r="H64" s="26">
        <v>3.0234562960088046E-3</v>
      </c>
      <c r="I64" s="26">
        <v>1.0782863522473039E-3</v>
      </c>
      <c r="J64" s="26">
        <v>1.0782863522473039E-3</v>
      </c>
      <c r="K64" s="27">
        <v>0</v>
      </c>
    </row>
    <row r="65" spans="2:11">
      <c r="B65" s="25" t="s">
        <v>120</v>
      </c>
      <c r="C65" s="26">
        <v>1.8961669639167379E-2</v>
      </c>
      <c r="D65" s="26">
        <v>3.3735760698629692E-2</v>
      </c>
      <c r="E65" s="26">
        <v>6.8722157405500788E-3</v>
      </c>
      <c r="F65" s="26">
        <v>6.8722157405500788E-3</v>
      </c>
      <c r="G65" s="26">
        <v>9.1067903035961604E-3</v>
      </c>
      <c r="H65" s="26">
        <v>3.0234562960088046E-3</v>
      </c>
      <c r="I65" s="26">
        <v>1.0782863522473039E-3</v>
      </c>
      <c r="J65" s="26">
        <v>1.0782863522473039E-3</v>
      </c>
      <c r="K65" s="27">
        <v>0</v>
      </c>
    </row>
    <row r="66" spans="2:11">
      <c r="B66" s="25" t="s">
        <v>123</v>
      </c>
      <c r="C66" s="26">
        <v>1.8110025655375481E-2</v>
      </c>
      <c r="D66" s="26">
        <v>3.3735760698629692E-2</v>
      </c>
      <c r="E66" s="26">
        <v>6.8722157405500788E-3</v>
      </c>
      <c r="F66" s="26">
        <v>6.8722157405500788E-3</v>
      </c>
      <c r="G66" s="26">
        <v>9.1067903035961604E-3</v>
      </c>
      <c r="H66" s="26">
        <v>3.0234562960088046E-3</v>
      </c>
      <c r="I66" s="26">
        <v>1.0782863522473039E-3</v>
      </c>
      <c r="J66" s="26">
        <v>1.0782863522473039E-3</v>
      </c>
      <c r="K66" s="27">
        <v>0</v>
      </c>
    </row>
    <row r="70" spans="2:11">
      <c r="B70" s="28" t="s">
        <v>129</v>
      </c>
    </row>
    <row r="72" spans="2:11" ht="39.6">
      <c r="B72" s="24" t="s">
        <v>24</v>
      </c>
      <c r="C72" s="24" t="s">
        <v>18</v>
      </c>
      <c r="D72" s="24" t="s">
        <v>17</v>
      </c>
      <c r="E72" s="24" t="s">
        <v>23</v>
      </c>
      <c r="F72" s="24" t="s">
        <v>22</v>
      </c>
      <c r="G72" s="24" t="s">
        <v>16</v>
      </c>
      <c r="H72" s="24" t="s">
        <v>15</v>
      </c>
      <c r="I72" s="24" t="s">
        <v>14</v>
      </c>
      <c r="J72" s="24" t="s">
        <v>13</v>
      </c>
      <c r="K72" s="24" t="s">
        <v>11</v>
      </c>
    </row>
    <row r="73" spans="2:11">
      <c r="B73" s="25" t="s">
        <v>26</v>
      </c>
      <c r="C73" s="26">
        <v>0.13800000000000001</v>
      </c>
      <c r="D73" s="26">
        <v>0.13800000000000001</v>
      </c>
      <c r="E73" s="26">
        <v>0.13800000000000001</v>
      </c>
      <c r="F73" s="26">
        <v>0.13800000000000001</v>
      </c>
      <c r="G73" s="26">
        <v>0.13800000000000001</v>
      </c>
      <c r="H73" s="26">
        <v>0.13800000000000001</v>
      </c>
      <c r="I73" s="26">
        <v>0.13800000000000001</v>
      </c>
      <c r="J73" s="26">
        <v>0.13800000000000001</v>
      </c>
      <c r="K73" s="26">
        <v>0.13800000000000001</v>
      </c>
    </row>
  </sheetData>
  <mergeCells count="1">
    <mergeCell ref="B2:K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3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3"/>
  <sheetViews>
    <sheetView showGridLines="0" view="pageBreakPreview" topLeftCell="A4" zoomScale="70" zoomScaleNormal="100" zoomScaleSheetLayoutView="70" workbookViewId="0">
      <selection activeCell="A12" sqref="A12"/>
    </sheetView>
  </sheetViews>
  <sheetFormatPr defaultColWidth="9.109375" defaultRowHeight="13.2"/>
  <cols>
    <col min="1" max="1" width="5.44140625" style="9" customWidth="1"/>
    <col min="2" max="2" width="10.5546875" style="9" customWidth="1"/>
    <col min="3" max="4" width="14" style="9" customWidth="1"/>
    <col min="5" max="5" width="24.88671875" style="9" customWidth="1"/>
    <col min="6" max="6" width="13.33203125" style="9" customWidth="1"/>
    <col min="7" max="7" width="17.109375" style="9" customWidth="1"/>
    <col min="8" max="8" width="23.88671875" style="9" customWidth="1"/>
    <col min="9" max="9" width="22.33203125" style="9" customWidth="1"/>
    <col min="10" max="10" width="21" style="9" customWidth="1"/>
    <col min="11" max="11" width="12.109375" style="9" customWidth="1"/>
    <col min="12" max="12" width="2.5546875" style="9" customWidth="1"/>
    <col min="13" max="16384" width="9.109375" style="9"/>
  </cols>
  <sheetData>
    <row r="2" spans="2:11" ht="12.75" customHeight="1">
      <c r="B2" s="185" t="s">
        <v>127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2:11"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2:11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2:11">
      <c r="B6" s="28" t="s">
        <v>128</v>
      </c>
      <c r="C6" s="23"/>
      <c r="D6" s="23"/>
      <c r="E6" s="23"/>
      <c r="F6" s="23"/>
      <c r="G6" s="23"/>
      <c r="H6" s="23"/>
      <c r="I6" s="23"/>
      <c r="J6" s="23"/>
      <c r="K6" s="23"/>
    </row>
    <row r="7" spans="2:11" ht="39.6">
      <c r="B7" s="24" t="s">
        <v>24</v>
      </c>
      <c r="C7" s="24" t="s">
        <v>18</v>
      </c>
      <c r="D7" s="24" t="s">
        <v>17</v>
      </c>
      <c r="E7" s="24" t="s">
        <v>23</v>
      </c>
      <c r="F7" s="24" t="s">
        <v>22</v>
      </c>
      <c r="G7" s="24" t="s">
        <v>16</v>
      </c>
      <c r="H7" s="24" t="s">
        <v>15</v>
      </c>
      <c r="I7" s="24" t="s">
        <v>14</v>
      </c>
      <c r="J7" s="24" t="s">
        <v>13</v>
      </c>
      <c r="K7" s="24" t="s">
        <v>11</v>
      </c>
    </row>
    <row r="8" spans="2:11">
      <c r="B8" s="25" t="s">
        <v>43</v>
      </c>
      <c r="C8" s="25">
        <v>257.90586192294052</v>
      </c>
      <c r="D8" s="25">
        <v>424.18647532068996</v>
      </c>
      <c r="E8" s="25">
        <v>9701.9330776870302</v>
      </c>
      <c r="F8" s="25">
        <v>6604.3758125184077</v>
      </c>
      <c r="G8" s="25">
        <v>8404.6469281092905</v>
      </c>
      <c r="H8" s="25">
        <v>7774.3600354419541</v>
      </c>
      <c r="I8" s="25">
        <v>7525.8657279633899</v>
      </c>
      <c r="J8" s="25">
        <v>6457.842584801173</v>
      </c>
      <c r="K8" s="25">
        <v>33.121030816579122</v>
      </c>
    </row>
    <row r="9" spans="2:11">
      <c r="B9" s="25" t="s">
        <v>45</v>
      </c>
      <c r="C9" s="25">
        <v>221.28410450319137</v>
      </c>
      <c r="D9" s="25">
        <v>359.32894281084526</v>
      </c>
      <c r="E9" s="25">
        <v>8053.9230660929807</v>
      </c>
      <c r="F9" s="25">
        <v>5370.8069972250796</v>
      </c>
      <c r="G9" s="25">
        <v>6930.1792927643892</v>
      </c>
      <c r="H9" s="25">
        <v>6381.4617561032655</v>
      </c>
      <c r="I9" s="25">
        <v>6166.234265808379</v>
      </c>
      <c r="J9" s="25">
        <v>5267.5086174857388</v>
      </c>
      <c r="K9" s="25">
        <v>26.837827890213987</v>
      </c>
    </row>
    <row r="10" spans="2:11">
      <c r="B10" s="25" t="s">
        <v>48</v>
      </c>
      <c r="C10" s="25">
        <v>286.51880786409936</v>
      </c>
      <c r="D10" s="25">
        <v>475.04847221513307</v>
      </c>
      <c r="E10" s="25">
        <v>10999.44291696764</v>
      </c>
      <c r="F10" s="25">
        <v>7575.5349902435491</v>
      </c>
      <c r="G10" s="25">
        <v>9565.5012899336198</v>
      </c>
      <c r="H10" s="25">
        <v>8870.1845310772333</v>
      </c>
      <c r="I10" s="25">
        <v>8595.4942161086401</v>
      </c>
      <c r="J10" s="25">
        <v>7394.219476313312</v>
      </c>
      <c r="K10" s="25">
        <v>37.836391390622836</v>
      </c>
    </row>
    <row r="11" spans="2:11">
      <c r="B11" s="25" t="s">
        <v>51</v>
      </c>
      <c r="C11" s="25">
        <v>323.89679232174768</v>
      </c>
      <c r="D11" s="25">
        <v>541.80978366045247</v>
      </c>
      <c r="E11" s="25">
        <v>12683.618859938491</v>
      </c>
      <c r="F11" s="25">
        <v>8849.042700075388</v>
      </c>
      <c r="G11" s="25">
        <v>11077.709053760158</v>
      </c>
      <c r="H11" s="25">
        <v>10300.594163979433</v>
      </c>
      <c r="I11" s="25">
        <v>9992.9386088622759</v>
      </c>
      <c r="J11" s="25">
        <v>8620.8407113440408</v>
      </c>
      <c r="K11" s="25">
        <v>43.937530109200509</v>
      </c>
    </row>
    <row r="12" spans="2:11">
      <c r="B12" s="25" t="s">
        <v>54</v>
      </c>
      <c r="C12" s="25">
        <v>269.82829170401925</v>
      </c>
      <c r="D12" s="25">
        <v>432.84540865676843</v>
      </c>
      <c r="E12" s="25">
        <v>9996.312136090306</v>
      </c>
      <c r="F12" s="25">
        <v>6841.4737882033678</v>
      </c>
      <c r="G12" s="25">
        <v>8675.0282228853011</v>
      </c>
      <c r="H12" s="25">
        <v>8033.5426253925634</v>
      </c>
      <c r="I12" s="25">
        <v>7780.4582333116723</v>
      </c>
      <c r="J12" s="25">
        <v>6699.7610058954351</v>
      </c>
      <c r="K12" s="25">
        <v>34.306155589454193</v>
      </c>
    </row>
    <row r="13" spans="2:11">
      <c r="B13" s="25" t="s">
        <v>57</v>
      </c>
      <c r="C13" s="25">
        <v>298.44123764517803</v>
      </c>
      <c r="D13" s="25">
        <v>483.70740555121137</v>
      </c>
      <c r="E13" s="25">
        <v>11293.821975370918</v>
      </c>
      <c r="F13" s="25">
        <v>7812.6329659285111</v>
      </c>
      <c r="G13" s="25">
        <v>9835.8825847096305</v>
      </c>
      <c r="H13" s="25">
        <v>9129.3671210278408</v>
      </c>
      <c r="I13" s="25">
        <v>8850.0867214569262</v>
      </c>
      <c r="J13" s="25">
        <v>7636.1378974075733</v>
      </c>
      <c r="K13" s="25">
        <v>39.0215161634979</v>
      </c>
    </row>
    <row r="14" spans="2:11">
      <c r="B14" s="25" t="s">
        <v>60</v>
      </c>
      <c r="C14" s="25">
        <v>335.8192221028263</v>
      </c>
      <c r="D14" s="25">
        <v>550.46871699653104</v>
      </c>
      <c r="E14" s="25">
        <v>12977.997918341767</v>
      </c>
      <c r="F14" s="25">
        <v>9086.1406757603509</v>
      </c>
      <c r="G14" s="25">
        <v>11348.090348536169</v>
      </c>
      <c r="H14" s="25">
        <v>10559.776753930044</v>
      </c>
      <c r="I14" s="25">
        <v>10247.531114210558</v>
      </c>
      <c r="J14" s="25">
        <v>8862.7591324383029</v>
      </c>
      <c r="K14" s="25">
        <v>45.12265488207558</v>
      </c>
    </row>
    <row r="15" spans="2:11">
      <c r="B15" s="25" t="s">
        <v>63</v>
      </c>
      <c r="C15" s="25">
        <v>335.8192221028263</v>
      </c>
      <c r="D15" s="25">
        <v>550.46871699653104</v>
      </c>
      <c r="E15" s="25">
        <v>12977.997918341767</v>
      </c>
      <c r="F15" s="25">
        <v>9086.1406757603509</v>
      </c>
      <c r="G15" s="25">
        <v>11348.090348536169</v>
      </c>
      <c r="H15" s="25">
        <v>10559.776753930044</v>
      </c>
      <c r="I15" s="25">
        <v>10247.531114210558</v>
      </c>
      <c r="J15" s="25">
        <v>8862.7591324383029</v>
      </c>
      <c r="K15" s="25">
        <v>45.12265488207558</v>
      </c>
    </row>
    <row r="16" spans="2:11">
      <c r="B16" s="25" t="s">
        <v>66</v>
      </c>
      <c r="C16" s="25">
        <v>298.44123764517803</v>
      </c>
      <c r="D16" s="25">
        <v>483.70740555121137</v>
      </c>
      <c r="E16" s="25">
        <v>11293.821975370918</v>
      </c>
      <c r="F16" s="25">
        <v>7812.6329659285111</v>
      </c>
      <c r="G16" s="25">
        <v>9835.8825847096305</v>
      </c>
      <c r="H16" s="25">
        <v>9129.3671210278408</v>
      </c>
      <c r="I16" s="25">
        <v>8850.0867214569262</v>
      </c>
      <c r="J16" s="25">
        <v>7636.1378974075733</v>
      </c>
      <c r="K16" s="25">
        <v>39.0215161634979</v>
      </c>
    </row>
    <row r="17" spans="2:11">
      <c r="B17" s="25" t="s">
        <v>69</v>
      </c>
      <c r="C17" s="25">
        <v>380.40340715760533</v>
      </c>
      <c r="D17" s="25">
        <v>630.923287377218</v>
      </c>
      <c r="E17" s="25">
        <v>14747.138597634796</v>
      </c>
      <c r="F17" s="25">
        <v>10410.37824500414</v>
      </c>
      <c r="G17" s="25">
        <v>12930.933083494154</v>
      </c>
      <c r="H17" s="25">
        <v>12055.054689597311</v>
      </c>
      <c r="I17" s="25">
        <v>11707.097082634789</v>
      </c>
      <c r="J17" s="25">
        <v>10140.584041696638</v>
      </c>
      <c r="K17" s="25">
        <v>51.867680588887666</v>
      </c>
    </row>
    <row r="18" spans="2:11">
      <c r="B18" s="25" t="s">
        <v>72</v>
      </c>
      <c r="C18" s="25">
        <v>380.40340715760533</v>
      </c>
      <c r="D18" s="25">
        <v>630.923287377218</v>
      </c>
      <c r="E18" s="25">
        <v>14747.138597634796</v>
      </c>
      <c r="F18" s="25">
        <v>10410.37824500414</v>
      </c>
      <c r="G18" s="25">
        <v>12930.933083494154</v>
      </c>
      <c r="H18" s="25">
        <v>12055.054689597311</v>
      </c>
      <c r="I18" s="25">
        <v>11707.097082634789</v>
      </c>
      <c r="J18" s="25">
        <v>10140.584041696638</v>
      </c>
      <c r="K18" s="25">
        <v>51.867680588887666</v>
      </c>
    </row>
    <row r="19" spans="2:11">
      <c r="B19" s="25" t="s">
        <v>75</v>
      </c>
      <c r="C19" s="25">
        <v>430.84745106010541</v>
      </c>
      <c r="D19" s="25">
        <v>723.13713459796691</v>
      </c>
      <c r="E19" s="25">
        <v>16849.583758705638</v>
      </c>
      <c r="F19" s="25">
        <v>11984.100958043218</v>
      </c>
      <c r="G19" s="25">
        <v>14811.981938341813</v>
      </c>
      <c r="H19" s="25">
        <v>13832.041617259803</v>
      </c>
      <c r="I19" s="25">
        <v>13441.643941171482</v>
      </c>
      <c r="J19" s="25">
        <v>11659.149992166762</v>
      </c>
      <c r="K19" s="25">
        <v>59.883462954059723</v>
      </c>
    </row>
    <row r="20" spans="2:11">
      <c r="B20" s="25" t="s">
        <v>78</v>
      </c>
      <c r="C20" s="25">
        <v>556.48457726342178</v>
      </c>
      <c r="D20" s="25">
        <v>946.04325166029082</v>
      </c>
      <c r="E20" s="25">
        <v>22499.851583984575</v>
      </c>
      <c r="F20" s="25">
        <v>16213.44066974652</v>
      </c>
      <c r="G20" s="25">
        <v>19867.252829169753</v>
      </c>
      <c r="H20" s="25">
        <v>18607.648729028035</v>
      </c>
      <c r="I20" s="25">
        <v>18103.194448028327</v>
      </c>
      <c r="J20" s="25">
        <v>15740.2573091991</v>
      </c>
      <c r="K20" s="25">
        <v>81.425673914416706</v>
      </c>
    </row>
    <row r="21" spans="2:11">
      <c r="B21" s="25" t="s">
        <v>81</v>
      </c>
      <c r="C21" s="25">
        <v>445.76243490352624</v>
      </c>
      <c r="D21" s="25">
        <v>752.84203898440251</v>
      </c>
      <c r="E21" s="25">
        <v>17217.852557981299</v>
      </c>
      <c r="F21" s="25">
        <v>12280.7110066309</v>
      </c>
      <c r="G21" s="25">
        <v>15150.229486634988</v>
      </c>
      <c r="H21" s="25">
        <v>14156.279563097341</v>
      </c>
      <c r="I21" s="25">
        <v>13760.139681859511</v>
      </c>
      <c r="J21" s="25">
        <v>11961.79042774082</v>
      </c>
      <c r="K21" s="25">
        <v>61.366056449214696</v>
      </c>
    </row>
    <row r="22" spans="2:11">
      <c r="B22" s="25" t="s">
        <v>84</v>
      </c>
      <c r="C22" s="25">
        <v>445.76243490352624</v>
      </c>
      <c r="D22" s="25">
        <v>752.84203898440251</v>
      </c>
      <c r="E22" s="25">
        <v>17217.852557981299</v>
      </c>
      <c r="F22" s="25">
        <v>12280.7110066309</v>
      </c>
      <c r="G22" s="25">
        <v>15150.229486634988</v>
      </c>
      <c r="H22" s="25">
        <v>14156.279563097341</v>
      </c>
      <c r="I22" s="25">
        <v>13760.139681859511</v>
      </c>
      <c r="J22" s="25">
        <v>11961.79042774082</v>
      </c>
      <c r="K22" s="25">
        <v>61.366056449214696</v>
      </c>
    </row>
    <row r="23" spans="2:11">
      <c r="B23" s="25" t="s">
        <v>87</v>
      </c>
      <c r="C23" s="25">
        <v>571.39956110684238</v>
      </c>
      <c r="D23" s="25">
        <v>975.74815604672654</v>
      </c>
      <c r="E23" s="25">
        <v>22868.120383260233</v>
      </c>
      <c r="F23" s="25">
        <v>16510.050718334205</v>
      </c>
      <c r="G23" s="25">
        <v>20205.500377462926</v>
      </c>
      <c r="H23" s="25">
        <v>18931.886674865571</v>
      </c>
      <c r="I23" s="25">
        <v>18421.690188716362</v>
      </c>
      <c r="J23" s="25">
        <v>16042.897744773156</v>
      </c>
      <c r="K23" s="25">
        <v>82.908267409571664</v>
      </c>
    </row>
    <row r="24" spans="2:11">
      <c r="B24" s="25" t="s">
        <v>90</v>
      </c>
      <c r="C24" s="25">
        <v>723.28420826405716</v>
      </c>
      <c r="D24" s="25">
        <v>1244.7375256129453</v>
      </c>
      <c r="E24" s="25">
        <v>29703.057774537228</v>
      </c>
      <c r="F24" s="25">
        <v>21626.13955338097</v>
      </c>
      <c r="G24" s="25">
        <v>26320.690153099487</v>
      </c>
      <c r="H24" s="25">
        <v>24708.776660193238</v>
      </c>
      <c r="I24" s="25">
        <v>24060.609766669138</v>
      </c>
      <c r="J24" s="25">
        <v>20979.674878452017</v>
      </c>
      <c r="K24" s="25">
        <v>108.96714952573973</v>
      </c>
    </row>
    <row r="25" spans="2:11">
      <c r="B25" s="25" t="s">
        <v>93</v>
      </c>
      <c r="C25" s="25">
        <v>221.28410450319137</v>
      </c>
      <c r="D25" s="25">
        <v>337.94190340059981</v>
      </c>
      <c r="E25" s="25">
        <v>8053.9230660929807</v>
      </c>
      <c r="F25" s="25">
        <v>5370.8069972250796</v>
      </c>
      <c r="G25" s="25">
        <v>6930.1792927643892</v>
      </c>
      <c r="H25" s="25">
        <v>6381.4617561032655</v>
      </c>
      <c r="I25" s="25">
        <v>6166.234265808379</v>
      </c>
      <c r="J25" s="25">
        <v>5267.5086174857388</v>
      </c>
      <c r="K25" s="25">
        <v>26.837827890213987</v>
      </c>
    </row>
    <row r="26" spans="2:11">
      <c r="B26" s="25" t="s">
        <v>96</v>
      </c>
      <c r="C26" s="25">
        <v>221.28410450319137</v>
      </c>
      <c r="D26" s="25">
        <v>337.94190340059981</v>
      </c>
      <c r="E26" s="25">
        <v>8053.9230660929807</v>
      </c>
      <c r="F26" s="25">
        <v>5370.8069972250796</v>
      </c>
      <c r="G26" s="25">
        <v>6930.1792927643892</v>
      </c>
      <c r="H26" s="25">
        <v>6381.4617561032655</v>
      </c>
      <c r="I26" s="25">
        <v>6166.234265808379</v>
      </c>
      <c r="J26" s="25">
        <v>5267.5086174857388</v>
      </c>
      <c r="K26" s="25">
        <v>26.837827890213987</v>
      </c>
    </row>
    <row r="27" spans="2:11">
      <c r="B27" s="25" t="s">
        <v>99</v>
      </c>
      <c r="C27" s="25">
        <v>257.90586192294052</v>
      </c>
      <c r="D27" s="25">
        <v>397.6635114025155</v>
      </c>
      <c r="E27" s="25">
        <v>9701.9330776870302</v>
      </c>
      <c r="F27" s="25">
        <v>6604.3758125184077</v>
      </c>
      <c r="G27" s="25">
        <v>8404.6469281092905</v>
      </c>
      <c r="H27" s="25">
        <v>7774.3600354419541</v>
      </c>
      <c r="I27" s="25">
        <v>7525.8657279633899</v>
      </c>
      <c r="J27" s="25">
        <v>6457.842584801173</v>
      </c>
      <c r="K27" s="25">
        <v>33.121030816579122</v>
      </c>
    </row>
    <row r="28" spans="2:11">
      <c r="B28" s="25" t="s">
        <v>102</v>
      </c>
      <c r="C28" s="25">
        <v>298.44123764517803</v>
      </c>
      <c r="D28" s="25">
        <v>452.68135037939516</v>
      </c>
      <c r="E28" s="25">
        <v>11293.821975370918</v>
      </c>
      <c r="F28" s="25">
        <v>7812.6329659285111</v>
      </c>
      <c r="G28" s="25">
        <v>9835.8825847096305</v>
      </c>
      <c r="H28" s="25">
        <v>9129.3671210278408</v>
      </c>
      <c r="I28" s="25">
        <v>8850.0867214569262</v>
      </c>
      <c r="J28" s="25">
        <v>7636.1378974075733</v>
      </c>
      <c r="K28" s="25">
        <v>39.0215161634979</v>
      </c>
    </row>
    <row r="29" spans="2:11">
      <c r="B29" s="25" t="s">
        <v>105</v>
      </c>
      <c r="C29" s="25">
        <v>269.82829170401925</v>
      </c>
      <c r="D29" s="25">
        <v>405.86361766783517</v>
      </c>
      <c r="E29" s="25">
        <v>9996.312136090306</v>
      </c>
      <c r="F29" s="25">
        <v>6841.4737882033678</v>
      </c>
      <c r="G29" s="25">
        <v>8675.0282228853011</v>
      </c>
      <c r="H29" s="25">
        <v>8033.5426253925634</v>
      </c>
      <c r="I29" s="25">
        <v>7780.4582333116723</v>
      </c>
      <c r="J29" s="25">
        <v>6699.7610058954351</v>
      </c>
      <c r="K29" s="25">
        <v>34.306155589454193</v>
      </c>
    </row>
    <row r="30" spans="2:11">
      <c r="B30" s="25" t="s">
        <v>108</v>
      </c>
      <c r="C30" s="25">
        <v>335.8192221028263</v>
      </c>
      <c r="D30" s="25">
        <v>514.10339954131359</v>
      </c>
      <c r="E30" s="25">
        <v>12977.997918341767</v>
      </c>
      <c r="F30" s="25">
        <v>9086.1406757603509</v>
      </c>
      <c r="G30" s="25">
        <v>11348.090348536169</v>
      </c>
      <c r="H30" s="25">
        <v>10559.776753930044</v>
      </c>
      <c r="I30" s="25">
        <v>10247.531114210558</v>
      </c>
      <c r="J30" s="25">
        <v>8862.7591324383029</v>
      </c>
      <c r="K30" s="25">
        <v>45.12265488207558</v>
      </c>
    </row>
    <row r="31" spans="2:11">
      <c r="B31" s="25" t="s">
        <v>111</v>
      </c>
      <c r="C31" s="25">
        <v>335.8192221028263</v>
      </c>
      <c r="D31" s="25">
        <v>514.10339954131359</v>
      </c>
      <c r="E31" s="25">
        <v>12977.997918341767</v>
      </c>
      <c r="F31" s="25">
        <v>9086.1406757603509</v>
      </c>
      <c r="G31" s="25">
        <v>11348.090348536169</v>
      </c>
      <c r="H31" s="25">
        <v>10559.776753930044</v>
      </c>
      <c r="I31" s="25">
        <v>10247.531114210558</v>
      </c>
      <c r="J31" s="25">
        <v>8862.7591324383029</v>
      </c>
      <c r="K31" s="25">
        <v>45.12265488207558</v>
      </c>
    </row>
    <row r="32" spans="2:11">
      <c r="B32" s="25" t="s">
        <v>114</v>
      </c>
      <c r="C32" s="25">
        <v>380.40340715760533</v>
      </c>
      <c r="D32" s="25">
        <v>588.04210876411787</v>
      </c>
      <c r="E32" s="25">
        <v>14747.138597634796</v>
      </c>
      <c r="F32" s="25">
        <v>10410.37824500414</v>
      </c>
      <c r="G32" s="25">
        <v>12930.933083494154</v>
      </c>
      <c r="H32" s="25">
        <v>12055.054689597311</v>
      </c>
      <c r="I32" s="25">
        <v>11707.097082634789</v>
      </c>
      <c r="J32" s="25">
        <v>10140.584041696638</v>
      </c>
      <c r="K32" s="25">
        <v>51.867680588887666</v>
      </c>
    </row>
    <row r="33" spans="2:11">
      <c r="B33" s="25" t="s">
        <v>117</v>
      </c>
      <c r="C33" s="25">
        <v>498.7535449834362</v>
      </c>
      <c r="D33" s="25">
        <v>783.48413036236968</v>
      </c>
      <c r="E33" s="25">
        <v>19901.90637653345</v>
      </c>
      <c r="F33" s="25">
        <v>14268.826153325805</v>
      </c>
      <c r="G33" s="25">
        <v>17542.882164041985</v>
      </c>
      <c r="H33" s="25">
        <v>16411.865096758294</v>
      </c>
      <c r="I33" s="25">
        <v>15959.853075005489</v>
      </c>
      <c r="J33" s="25">
        <v>13863.798790198809</v>
      </c>
      <c r="K33" s="25">
        <v>71.520748085595898</v>
      </c>
    </row>
    <row r="34" spans="2:11">
      <c r="B34" s="25" t="s">
        <v>120</v>
      </c>
      <c r="C34" s="25">
        <v>498.7535449834362</v>
      </c>
      <c r="D34" s="25">
        <v>783.48413036236968</v>
      </c>
      <c r="E34" s="25">
        <v>19901.90637653345</v>
      </c>
      <c r="F34" s="25">
        <v>14268.826153325805</v>
      </c>
      <c r="G34" s="25">
        <v>17542.882164041985</v>
      </c>
      <c r="H34" s="25">
        <v>16411.865096758294</v>
      </c>
      <c r="I34" s="25">
        <v>15959.853075005489</v>
      </c>
      <c r="J34" s="25">
        <v>13863.798790198809</v>
      </c>
      <c r="K34" s="25">
        <v>71.520748085595898</v>
      </c>
    </row>
    <row r="35" spans="2:11">
      <c r="B35" s="25" t="s">
        <v>123</v>
      </c>
      <c r="C35" s="25">
        <v>571.39956110684238</v>
      </c>
      <c r="D35" s="25">
        <v>906.11013016210904</v>
      </c>
      <c r="E35" s="25">
        <v>22868.120383260233</v>
      </c>
      <c r="F35" s="25">
        <v>16510.050718334205</v>
      </c>
      <c r="G35" s="25">
        <v>20205.500377462926</v>
      </c>
      <c r="H35" s="25">
        <v>18931.886674865571</v>
      </c>
      <c r="I35" s="25">
        <v>18421.690188716362</v>
      </c>
      <c r="J35" s="25">
        <v>16042.897744773156</v>
      </c>
      <c r="K35" s="25">
        <v>82.908267409571664</v>
      </c>
    </row>
    <row r="36" spans="2:11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2:11">
      <c r="B37" s="28" t="s">
        <v>25</v>
      </c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39.6">
      <c r="B38" s="24" t="s">
        <v>24</v>
      </c>
      <c r="C38" s="24" t="s">
        <v>18</v>
      </c>
      <c r="D38" s="24" t="s">
        <v>17</v>
      </c>
      <c r="E38" s="24" t="s">
        <v>23</v>
      </c>
      <c r="F38" s="24" t="s">
        <v>22</v>
      </c>
      <c r="G38" s="24" t="s">
        <v>16</v>
      </c>
      <c r="H38" s="24" t="s">
        <v>15</v>
      </c>
      <c r="I38" s="24" t="s">
        <v>14</v>
      </c>
      <c r="J38" s="24" t="s">
        <v>13</v>
      </c>
      <c r="K38" s="24" t="s">
        <v>11</v>
      </c>
    </row>
    <row r="39" spans="2:11">
      <c r="B39" s="25" t="s">
        <v>43</v>
      </c>
      <c r="C39" s="26">
        <v>2.820815613437918E-2</v>
      </c>
      <c r="D39" s="26">
        <v>3.3735760698629692E-2</v>
      </c>
      <c r="E39" s="26">
        <v>6.8722157405500788E-3</v>
      </c>
      <c r="F39" s="26">
        <v>6.8722157405500788E-3</v>
      </c>
      <c r="G39" s="26">
        <v>9.1067903035961604E-3</v>
      </c>
      <c r="H39" s="26">
        <v>3.0234562960088046E-3</v>
      </c>
      <c r="I39" s="26">
        <v>1.0782863522473039E-3</v>
      </c>
      <c r="J39" s="26">
        <v>1.0782863522473039E-3</v>
      </c>
      <c r="K39" s="27">
        <v>0</v>
      </c>
    </row>
    <row r="40" spans="2:11">
      <c r="B40" s="25" t="s">
        <v>45</v>
      </c>
      <c r="C40" s="26">
        <v>2.820815613437918E-2</v>
      </c>
      <c r="D40" s="26">
        <v>3.3735760698629692E-2</v>
      </c>
      <c r="E40" s="26">
        <v>6.8722157405500788E-3</v>
      </c>
      <c r="F40" s="26">
        <v>6.8722157405500788E-3</v>
      </c>
      <c r="G40" s="26">
        <v>9.1067903035961604E-3</v>
      </c>
      <c r="H40" s="26">
        <v>3.0234562960088046E-3</v>
      </c>
      <c r="I40" s="26">
        <v>1.0782863522473039E-3</v>
      </c>
      <c r="J40" s="26">
        <v>1.0782863522473039E-3</v>
      </c>
      <c r="K40" s="27">
        <v>0</v>
      </c>
    </row>
    <row r="41" spans="2:11">
      <c r="B41" s="25" t="s">
        <v>48</v>
      </c>
      <c r="C41" s="26">
        <v>2.820815613437918E-2</v>
      </c>
      <c r="D41" s="26">
        <v>3.3735760698629692E-2</v>
      </c>
      <c r="E41" s="26">
        <v>6.8722157405500788E-3</v>
      </c>
      <c r="F41" s="26">
        <v>6.8722157405500788E-3</v>
      </c>
      <c r="G41" s="26">
        <v>9.1067903035961604E-3</v>
      </c>
      <c r="H41" s="26">
        <v>3.0234562960088046E-3</v>
      </c>
      <c r="I41" s="26">
        <v>1.0782863522473039E-3</v>
      </c>
      <c r="J41" s="26">
        <v>1.0782863522473039E-3</v>
      </c>
      <c r="K41" s="27">
        <v>0</v>
      </c>
    </row>
    <row r="42" spans="2:11">
      <c r="B42" s="25" t="s">
        <v>51</v>
      </c>
      <c r="C42" s="26">
        <v>2.820815613437918E-2</v>
      </c>
      <c r="D42" s="26">
        <v>3.3735760698629692E-2</v>
      </c>
      <c r="E42" s="26">
        <v>6.8722157405500788E-3</v>
      </c>
      <c r="F42" s="26">
        <v>6.8722157405500788E-3</v>
      </c>
      <c r="G42" s="26">
        <v>9.1067903035961604E-3</v>
      </c>
      <c r="H42" s="26">
        <v>3.0234562960088046E-3</v>
      </c>
      <c r="I42" s="26">
        <v>1.0782863522473039E-3</v>
      </c>
      <c r="J42" s="26">
        <v>1.0782863522473039E-3</v>
      </c>
      <c r="K42" s="27">
        <v>0</v>
      </c>
    </row>
    <row r="43" spans="2:11">
      <c r="B43" s="25" t="s">
        <v>54</v>
      </c>
      <c r="C43" s="26">
        <v>2.820815613437918E-2</v>
      </c>
      <c r="D43" s="26">
        <v>3.3735760698629692E-2</v>
      </c>
      <c r="E43" s="26">
        <v>6.8722157405500788E-3</v>
      </c>
      <c r="F43" s="26">
        <v>6.8722157405500788E-3</v>
      </c>
      <c r="G43" s="26">
        <v>9.1067903035961604E-3</v>
      </c>
      <c r="H43" s="26">
        <v>3.0234562960088046E-3</v>
      </c>
      <c r="I43" s="26">
        <v>1.0782863522473039E-3</v>
      </c>
      <c r="J43" s="26">
        <v>1.0782863522473039E-3</v>
      </c>
      <c r="K43" s="27">
        <v>0</v>
      </c>
    </row>
    <row r="44" spans="2:11">
      <c r="B44" s="25" t="s">
        <v>57</v>
      </c>
      <c r="C44" s="26">
        <v>2.820815613437918E-2</v>
      </c>
      <c r="D44" s="26">
        <v>3.3735760698629692E-2</v>
      </c>
      <c r="E44" s="26">
        <v>6.8722157405500788E-3</v>
      </c>
      <c r="F44" s="26">
        <v>6.8722157405500788E-3</v>
      </c>
      <c r="G44" s="26">
        <v>9.1067903035961604E-3</v>
      </c>
      <c r="H44" s="26">
        <v>3.0234562960088046E-3</v>
      </c>
      <c r="I44" s="26">
        <v>1.0782863522473039E-3</v>
      </c>
      <c r="J44" s="26">
        <v>1.0782863522473039E-3</v>
      </c>
      <c r="K44" s="27">
        <v>0</v>
      </c>
    </row>
    <row r="45" spans="2:11">
      <c r="B45" s="25" t="s">
        <v>60</v>
      </c>
      <c r="C45" s="26">
        <v>2.820815613437918E-2</v>
      </c>
      <c r="D45" s="26">
        <v>3.3735760698629692E-2</v>
      </c>
      <c r="E45" s="26">
        <v>6.8722157405500788E-3</v>
      </c>
      <c r="F45" s="26">
        <v>6.8722157405500788E-3</v>
      </c>
      <c r="G45" s="26">
        <v>9.1067903035961604E-3</v>
      </c>
      <c r="H45" s="26">
        <v>3.0234562960088046E-3</v>
      </c>
      <c r="I45" s="26">
        <v>1.0782863522473039E-3</v>
      </c>
      <c r="J45" s="26">
        <v>1.0782863522473039E-3</v>
      </c>
      <c r="K45" s="27">
        <v>0</v>
      </c>
    </row>
    <row r="46" spans="2:11">
      <c r="B46" s="25" t="s">
        <v>63</v>
      </c>
      <c r="C46" s="26">
        <v>1.8961669639167379E-2</v>
      </c>
      <c r="D46" s="26">
        <v>3.3735760698629692E-2</v>
      </c>
      <c r="E46" s="26">
        <v>6.8722157405500788E-3</v>
      </c>
      <c r="F46" s="26">
        <v>6.8722157405500788E-3</v>
      </c>
      <c r="G46" s="26">
        <v>9.1067903035961604E-3</v>
      </c>
      <c r="H46" s="26">
        <v>3.0234562960088046E-3</v>
      </c>
      <c r="I46" s="26">
        <v>1.0782863522473039E-3</v>
      </c>
      <c r="J46" s="26">
        <v>1.0782863522473039E-3</v>
      </c>
      <c r="K46" s="27">
        <v>0</v>
      </c>
    </row>
    <row r="47" spans="2:11">
      <c r="B47" s="25" t="s">
        <v>66</v>
      </c>
      <c r="C47" s="26">
        <v>1.8961669639167379E-2</v>
      </c>
      <c r="D47" s="26">
        <v>3.3735760698629692E-2</v>
      </c>
      <c r="E47" s="26">
        <v>6.8722157405500788E-3</v>
      </c>
      <c r="F47" s="26">
        <v>6.8722157405500788E-3</v>
      </c>
      <c r="G47" s="26">
        <v>9.1067903035961604E-3</v>
      </c>
      <c r="H47" s="26">
        <v>3.0234562960088046E-3</v>
      </c>
      <c r="I47" s="26">
        <v>1.0782863522473039E-3</v>
      </c>
      <c r="J47" s="26">
        <v>1.0782863522473039E-3</v>
      </c>
      <c r="K47" s="27">
        <v>0</v>
      </c>
    </row>
    <row r="48" spans="2:11">
      <c r="B48" s="25" t="s">
        <v>69</v>
      </c>
      <c r="C48" s="26">
        <v>2.820815613437918E-2</v>
      </c>
      <c r="D48" s="26">
        <v>3.3735760698629692E-2</v>
      </c>
      <c r="E48" s="26">
        <v>6.8722157405500788E-3</v>
      </c>
      <c r="F48" s="26">
        <v>6.8722157405500788E-3</v>
      </c>
      <c r="G48" s="26">
        <v>9.1067903035961604E-3</v>
      </c>
      <c r="H48" s="26">
        <v>3.0234562960088046E-3</v>
      </c>
      <c r="I48" s="26">
        <v>1.0782863522473039E-3</v>
      </c>
      <c r="J48" s="26">
        <v>1.0782863522473039E-3</v>
      </c>
      <c r="K48" s="27">
        <v>0</v>
      </c>
    </row>
    <row r="49" spans="2:11">
      <c r="B49" s="25" t="s">
        <v>72</v>
      </c>
      <c r="C49" s="26">
        <v>1.8961669639167379E-2</v>
      </c>
      <c r="D49" s="26">
        <v>3.3735760698629692E-2</v>
      </c>
      <c r="E49" s="26">
        <v>6.8722157405500788E-3</v>
      </c>
      <c r="F49" s="26">
        <v>6.8722157405500788E-3</v>
      </c>
      <c r="G49" s="26">
        <v>9.1067903035961604E-3</v>
      </c>
      <c r="H49" s="26">
        <v>3.0234562960088046E-3</v>
      </c>
      <c r="I49" s="26">
        <v>1.0782863522473039E-3</v>
      </c>
      <c r="J49" s="26">
        <v>1.0782863522473039E-3</v>
      </c>
      <c r="K49" s="27">
        <v>0</v>
      </c>
    </row>
    <row r="50" spans="2:11">
      <c r="B50" s="25" t="s">
        <v>75</v>
      </c>
      <c r="C50" s="26">
        <v>2.820815613437918E-2</v>
      </c>
      <c r="D50" s="26">
        <v>3.3735760698629692E-2</v>
      </c>
      <c r="E50" s="26">
        <v>6.8722157405500788E-3</v>
      </c>
      <c r="F50" s="26">
        <v>6.8722157405500788E-3</v>
      </c>
      <c r="G50" s="26">
        <v>9.1067903035961604E-3</v>
      </c>
      <c r="H50" s="26">
        <v>3.0234562960088046E-3</v>
      </c>
      <c r="I50" s="26">
        <v>1.0782863522473039E-3</v>
      </c>
      <c r="J50" s="26">
        <v>1.0782863522473039E-3</v>
      </c>
      <c r="K50" s="27">
        <v>0</v>
      </c>
    </row>
    <row r="51" spans="2:11">
      <c r="B51" s="25" t="s">
        <v>78</v>
      </c>
      <c r="C51" s="26">
        <v>2.820815613437918E-2</v>
      </c>
      <c r="D51" s="26">
        <v>3.3735760698629692E-2</v>
      </c>
      <c r="E51" s="26">
        <v>6.8722157405500788E-3</v>
      </c>
      <c r="F51" s="26">
        <v>6.8722157405500788E-3</v>
      </c>
      <c r="G51" s="26">
        <v>9.1067903035961604E-3</v>
      </c>
      <c r="H51" s="26">
        <v>3.0234562960088046E-3</v>
      </c>
      <c r="I51" s="26">
        <v>1.0782863522473039E-3</v>
      </c>
      <c r="J51" s="26">
        <v>1.0782863522473039E-3</v>
      </c>
      <c r="K51" s="27">
        <v>0</v>
      </c>
    </row>
    <row r="52" spans="2:11">
      <c r="B52" s="25" t="s">
        <v>81</v>
      </c>
      <c r="C52" s="26">
        <v>2.820815613437918E-2</v>
      </c>
      <c r="D52" s="26">
        <v>3.3735760698629692E-2</v>
      </c>
      <c r="E52" s="26">
        <v>6.8722157405500788E-3</v>
      </c>
      <c r="F52" s="26">
        <v>6.8722157405500788E-3</v>
      </c>
      <c r="G52" s="26">
        <v>9.1067903035961604E-3</v>
      </c>
      <c r="H52" s="26">
        <v>3.0234562960088046E-3</v>
      </c>
      <c r="I52" s="26">
        <v>1.0782863522473039E-3</v>
      </c>
      <c r="J52" s="26">
        <v>1.0782863522473039E-3</v>
      </c>
      <c r="K52" s="27">
        <v>0</v>
      </c>
    </row>
    <row r="53" spans="2:11">
      <c r="B53" s="25" t="s">
        <v>84</v>
      </c>
      <c r="C53" s="26">
        <v>1.8961669639167379E-2</v>
      </c>
      <c r="D53" s="26">
        <v>3.3735760698629692E-2</v>
      </c>
      <c r="E53" s="26">
        <v>6.8722157405500788E-3</v>
      </c>
      <c r="F53" s="26">
        <v>6.8722157405500788E-3</v>
      </c>
      <c r="G53" s="26">
        <v>9.1067903035961604E-3</v>
      </c>
      <c r="H53" s="26">
        <v>3.0234562960088046E-3</v>
      </c>
      <c r="I53" s="26">
        <v>1.0782863522473039E-3</v>
      </c>
      <c r="J53" s="26">
        <v>1.0782863522473039E-3</v>
      </c>
      <c r="K53" s="27">
        <v>0</v>
      </c>
    </row>
    <row r="54" spans="2:11">
      <c r="B54" s="25" t="s">
        <v>87</v>
      </c>
      <c r="C54" s="26">
        <v>1.8961669639167379E-2</v>
      </c>
      <c r="D54" s="26">
        <v>3.3735760698629692E-2</v>
      </c>
      <c r="E54" s="26">
        <v>6.8722157405500788E-3</v>
      </c>
      <c r="F54" s="26">
        <v>6.8722157405500788E-3</v>
      </c>
      <c r="G54" s="26">
        <v>9.1067903035961604E-3</v>
      </c>
      <c r="H54" s="26">
        <v>3.0234562960088046E-3</v>
      </c>
      <c r="I54" s="26">
        <v>1.0782863522473039E-3</v>
      </c>
      <c r="J54" s="26">
        <v>1.0782863522473039E-3</v>
      </c>
      <c r="K54" s="27">
        <v>0</v>
      </c>
    </row>
    <row r="55" spans="2:11">
      <c r="B55" s="25" t="s">
        <v>90</v>
      </c>
      <c r="C55" s="26">
        <v>1.8961669639167379E-2</v>
      </c>
      <c r="D55" s="26">
        <v>3.3735760698629692E-2</v>
      </c>
      <c r="E55" s="26">
        <v>6.8722157405500788E-3</v>
      </c>
      <c r="F55" s="26">
        <v>6.8722157405500788E-3</v>
      </c>
      <c r="G55" s="26">
        <v>9.1067903035961604E-3</v>
      </c>
      <c r="H55" s="26">
        <v>3.0234562960088046E-3</v>
      </c>
      <c r="I55" s="26">
        <v>1.0782863522473039E-3</v>
      </c>
      <c r="J55" s="26">
        <v>1.0782863522473039E-3</v>
      </c>
      <c r="K55" s="27">
        <v>0</v>
      </c>
    </row>
    <row r="56" spans="2:11">
      <c r="B56" s="25" t="s">
        <v>93</v>
      </c>
      <c r="C56" s="26">
        <v>2.820815613437918E-2</v>
      </c>
      <c r="D56" s="26">
        <v>3.3735760698629692E-2</v>
      </c>
      <c r="E56" s="26">
        <v>6.8722157405500788E-3</v>
      </c>
      <c r="F56" s="26">
        <v>6.8722157405500788E-3</v>
      </c>
      <c r="G56" s="26">
        <v>9.1067903035961604E-3</v>
      </c>
      <c r="H56" s="26">
        <v>3.0234562960088046E-3</v>
      </c>
      <c r="I56" s="26">
        <v>1.0782863522473039E-3</v>
      </c>
      <c r="J56" s="26">
        <v>1.0782863522473039E-3</v>
      </c>
      <c r="K56" s="27">
        <v>0</v>
      </c>
    </row>
    <row r="57" spans="2:11">
      <c r="B57" s="25" t="s">
        <v>96</v>
      </c>
      <c r="C57" s="26">
        <v>1.8961669639167379E-2</v>
      </c>
      <c r="D57" s="26">
        <v>3.3735760698629692E-2</v>
      </c>
      <c r="E57" s="26">
        <v>6.8722157405500788E-3</v>
      </c>
      <c r="F57" s="26">
        <v>6.8722157405500788E-3</v>
      </c>
      <c r="G57" s="26">
        <v>9.1067903035961604E-3</v>
      </c>
      <c r="H57" s="26">
        <v>3.0234562960088046E-3</v>
      </c>
      <c r="I57" s="26">
        <v>1.0782863522473039E-3</v>
      </c>
      <c r="J57" s="26">
        <v>1.0782863522473039E-3</v>
      </c>
      <c r="K57" s="27">
        <v>0</v>
      </c>
    </row>
    <row r="58" spans="2:11">
      <c r="B58" s="25" t="s">
        <v>99</v>
      </c>
      <c r="C58" s="26">
        <v>2.820815613437918E-2</v>
      </c>
      <c r="D58" s="26">
        <v>3.3735760698629692E-2</v>
      </c>
      <c r="E58" s="26">
        <v>6.8722157405500788E-3</v>
      </c>
      <c r="F58" s="26">
        <v>6.8722157405500788E-3</v>
      </c>
      <c r="G58" s="26">
        <v>9.1067903035961604E-3</v>
      </c>
      <c r="H58" s="26">
        <v>3.0234562960088046E-3</v>
      </c>
      <c r="I58" s="26">
        <v>1.0782863522473039E-3</v>
      </c>
      <c r="J58" s="26">
        <v>1.0782863522473039E-3</v>
      </c>
      <c r="K58" s="27">
        <v>0</v>
      </c>
    </row>
    <row r="59" spans="2:11">
      <c r="B59" s="25" t="s">
        <v>102</v>
      </c>
      <c r="C59" s="26">
        <v>1.8961669639167379E-2</v>
      </c>
      <c r="D59" s="26">
        <v>3.3735760698629692E-2</v>
      </c>
      <c r="E59" s="26">
        <v>6.8722157405500788E-3</v>
      </c>
      <c r="F59" s="26">
        <v>6.8722157405500788E-3</v>
      </c>
      <c r="G59" s="26">
        <v>9.1067903035961604E-3</v>
      </c>
      <c r="H59" s="26">
        <v>3.0234562960088046E-3</v>
      </c>
      <c r="I59" s="26">
        <v>1.0782863522473039E-3</v>
      </c>
      <c r="J59" s="26">
        <v>1.0782863522473039E-3</v>
      </c>
      <c r="K59" s="27">
        <v>0</v>
      </c>
    </row>
    <row r="60" spans="2:11">
      <c r="B60" s="25" t="s">
        <v>105</v>
      </c>
      <c r="C60" s="26">
        <v>2.820815613437918E-2</v>
      </c>
      <c r="D60" s="26">
        <v>3.3735760698629692E-2</v>
      </c>
      <c r="E60" s="26">
        <v>6.8722157405500788E-3</v>
      </c>
      <c r="F60" s="26">
        <v>6.8722157405500788E-3</v>
      </c>
      <c r="G60" s="26">
        <v>9.1067903035961604E-3</v>
      </c>
      <c r="H60" s="26">
        <v>3.0234562960088046E-3</v>
      </c>
      <c r="I60" s="26">
        <v>1.0782863522473039E-3</v>
      </c>
      <c r="J60" s="26">
        <v>1.0782863522473039E-3</v>
      </c>
      <c r="K60" s="27">
        <v>0</v>
      </c>
    </row>
    <row r="61" spans="2:11">
      <c r="B61" s="25" t="s">
        <v>108</v>
      </c>
      <c r="C61" s="26">
        <v>1.8961669639167379E-2</v>
      </c>
      <c r="D61" s="26">
        <v>3.3735760698629692E-2</v>
      </c>
      <c r="E61" s="26">
        <v>6.8722157405500788E-3</v>
      </c>
      <c r="F61" s="26">
        <v>6.8722157405500788E-3</v>
      </c>
      <c r="G61" s="26">
        <v>9.1067903035961604E-3</v>
      </c>
      <c r="H61" s="26">
        <v>3.0234562960088046E-3</v>
      </c>
      <c r="I61" s="26">
        <v>1.0782863522473039E-3</v>
      </c>
      <c r="J61" s="26">
        <v>1.0782863522473039E-3</v>
      </c>
      <c r="K61" s="27">
        <v>0</v>
      </c>
    </row>
    <row r="62" spans="2:11">
      <c r="B62" s="25" t="s">
        <v>111</v>
      </c>
      <c r="C62" s="26">
        <v>2.820815613437918E-2</v>
      </c>
      <c r="D62" s="26">
        <v>3.3735760698629692E-2</v>
      </c>
      <c r="E62" s="26">
        <v>6.8722157405500788E-3</v>
      </c>
      <c r="F62" s="26">
        <v>6.8722157405500788E-3</v>
      </c>
      <c r="G62" s="26">
        <v>9.1067903035961604E-3</v>
      </c>
      <c r="H62" s="26">
        <v>3.0234562960088046E-3</v>
      </c>
      <c r="I62" s="26">
        <v>1.0782863522473039E-3</v>
      </c>
      <c r="J62" s="26">
        <v>1.0782863522473039E-3</v>
      </c>
      <c r="K62" s="27">
        <v>0</v>
      </c>
    </row>
    <row r="63" spans="2:11">
      <c r="B63" s="25" t="s">
        <v>114</v>
      </c>
      <c r="C63" s="26">
        <v>2.820815613437918E-2</v>
      </c>
      <c r="D63" s="26">
        <v>3.3735760698629692E-2</v>
      </c>
      <c r="E63" s="26">
        <v>6.8722157405500788E-3</v>
      </c>
      <c r="F63" s="26">
        <v>6.8722157405500788E-3</v>
      </c>
      <c r="G63" s="26">
        <v>9.1067903035961604E-3</v>
      </c>
      <c r="H63" s="26">
        <v>3.0234562960088046E-3</v>
      </c>
      <c r="I63" s="26">
        <v>1.0782863522473039E-3</v>
      </c>
      <c r="J63" s="26">
        <v>1.0782863522473039E-3</v>
      </c>
      <c r="K63" s="27">
        <v>0</v>
      </c>
    </row>
    <row r="64" spans="2:11">
      <c r="B64" s="25" t="s">
        <v>117</v>
      </c>
      <c r="C64" s="26">
        <v>1.8110025655375481E-2</v>
      </c>
      <c r="D64" s="26">
        <v>3.3735760698629692E-2</v>
      </c>
      <c r="E64" s="26">
        <v>6.8722157405500788E-3</v>
      </c>
      <c r="F64" s="26">
        <v>6.8722157405500788E-3</v>
      </c>
      <c r="G64" s="26">
        <v>9.1067903035961604E-3</v>
      </c>
      <c r="H64" s="26">
        <v>3.0234562960088046E-3</v>
      </c>
      <c r="I64" s="26">
        <v>1.0782863522473039E-3</v>
      </c>
      <c r="J64" s="26">
        <v>1.0782863522473039E-3</v>
      </c>
      <c r="K64" s="27">
        <v>0</v>
      </c>
    </row>
    <row r="65" spans="2:11">
      <c r="B65" s="25" t="s">
        <v>120</v>
      </c>
      <c r="C65" s="26">
        <v>1.8961669639167379E-2</v>
      </c>
      <c r="D65" s="26">
        <v>3.3735760698629692E-2</v>
      </c>
      <c r="E65" s="26">
        <v>6.8722157405500788E-3</v>
      </c>
      <c r="F65" s="26">
        <v>6.8722157405500788E-3</v>
      </c>
      <c r="G65" s="26">
        <v>9.1067903035961604E-3</v>
      </c>
      <c r="H65" s="26">
        <v>3.0234562960088046E-3</v>
      </c>
      <c r="I65" s="26">
        <v>1.0782863522473039E-3</v>
      </c>
      <c r="J65" s="26">
        <v>1.0782863522473039E-3</v>
      </c>
      <c r="K65" s="27">
        <v>0</v>
      </c>
    </row>
    <row r="66" spans="2:11">
      <c r="B66" s="25" t="s">
        <v>123</v>
      </c>
      <c r="C66" s="26">
        <v>1.8110025655375481E-2</v>
      </c>
      <c r="D66" s="26">
        <v>3.3735760698629692E-2</v>
      </c>
      <c r="E66" s="26">
        <v>6.8722157405500788E-3</v>
      </c>
      <c r="F66" s="26">
        <v>6.8722157405500788E-3</v>
      </c>
      <c r="G66" s="26">
        <v>9.1067903035961604E-3</v>
      </c>
      <c r="H66" s="26">
        <v>3.0234562960088046E-3</v>
      </c>
      <c r="I66" s="26">
        <v>1.0782863522473039E-3</v>
      </c>
      <c r="J66" s="26">
        <v>1.0782863522473039E-3</v>
      </c>
      <c r="K66" s="27">
        <v>0</v>
      </c>
    </row>
    <row r="70" spans="2:11">
      <c r="B70" s="28" t="s">
        <v>129</v>
      </c>
    </row>
    <row r="72" spans="2:11" ht="39.6">
      <c r="B72" s="24" t="s">
        <v>24</v>
      </c>
      <c r="C72" s="24" t="s">
        <v>18</v>
      </c>
      <c r="D72" s="24" t="s">
        <v>17</v>
      </c>
      <c r="E72" s="24" t="s">
        <v>23</v>
      </c>
      <c r="F72" s="24" t="s">
        <v>22</v>
      </c>
      <c r="G72" s="24" t="s">
        <v>16</v>
      </c>
      <c r="H72" s="24" t="s">
        <v>15</v>
      </c>
      <c r="I72" s="24" t="s">
        <v>14</v>
      </c>
      <c r="J72" s="24" t="s">
        <v>13</v>
      </c>
      <c r="K72" s="24" t="s">
        <v>11</v>
      </c>
    </row>
    <row r="73" spans="2:11">
      <c r="B73" s="25" t="s">
        <v>26</v>
      </c>
      <c r="C73" s="26">
        <v>0.13800000000000001</v>
      </c>
      <c r="D73" s="26">
        <v>0.13800000000000001</v>
      </c>
      <c r="E73" s="26">
        <v>0.13800000000000001</v>
      </c>
      <c r="F73" s="26">
        <v>0.13800000000000001</v>
      </c>
      <c r="G73" s="26">
        <v>0.13800000000000001</v>
      </c>
      <c r="H73" s="26">
        <v>0.13800000000000001</v>
      </c>
      <c r="I73" s="26">
        <v>0.13800000000000001</v>
      </c>
      <c r="J73" s="26">
        <v>0.13800000000000001</v>
      </c>
      <c r="K73" s="26">
        <v>0.13800000000000001</v>
      </c>
    </row>
  </sheetData>
  <mergeCells count="1">
    <mergeCell ref="B2:K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" manualBreakCount="1">
    <brk id="3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3"/>
  <sheetViews>
    <sheetView showGridLines="0" view="pageBreakPreview" topLeftCell="A37" zoomScale="70" zoomScaleNormal="100" zoomScaleSheetLayoutView="70" workbookViewId="0">
      <selection activeCell="A12" sqref="A12:XFD12"/>
    </sheetView>
  </sheetViews>
  <sheetFormatPr defaultColWidth="9.109375" defaultRowHeight="13.2"/>
  <cols>
    <col min="1" max="1" width="5.44140625" style="29" customWidth="1"/>
    <col min="2" max="2" width="10.5546875" style="29" customWidth="1"/>
    <col min="3" max="4" width="14" style="29" customWidth="1"/>
    <col min="5" max="5" width="25.33203125" style="29" customWidth="1"/>
    <col min="6" max="6" width="12" style="29" customWidth="1"/>
    <col min="7" max="7" width="17.109375" style="29" customWidth="1"/>
    <col min="8" max="8" width="23.88671875" style="29" customWidth="1"/>
    <col min="9" max="9" width="22.33203125" style="29" customWidth="1"/>
    <col min="10" max="10" width="21" style="29" customWidth="1"/>
    <col min="11" max="11" width="12.109375" style="29" customWidth="1"/>
    <col min="12" max="12" width="2.5546875" style="29" customWidth="1"/>
    <col min="13" max="16384" width="9.109375" style="29"/>
  </cols>
  <sheetData>
    <row r="2" spans="2:11" ht="12.75" customHeight="1">
      <c r="B2" s="186" t="s">
        <v>127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s="1" customFormat="1"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2:11" s="1" customFormat="1"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2:11" s="1" customForma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>
      <c r="B6" s="28" t="s">
        <v>128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52.8">
      <c r="B7" s="3" t="s">
        <v>24</v>
      </c>
      <c r="C7" s="3" t="s">
        <v>18</v>
      </c>
      <c r="D7" s="3" t="s">
        <v>17</v>
      </c>
      <c r="E7" s="3" t="s">
        <v>23</v>
      </c>
      <c r="F7" s="3" t="s">
        <v>22</v>
      </c>
      <c r="G7" s="3" t="s">
        <v>16</v>
      </c>
      <c r="H7" s="3" t="s">
        <v>15</v>
      </c>
      <c r="I7" s="3" t="s">
        <v>14</v>
      </c>
      <c r="J7" s="3" t="s">
        <v>13</v>
      </c>
      <c r="K7" s="3" t="s">
        <v>11</v>
      </c>
    </row>
    <row r="8" spans="2:11">
      <c r="B8" s="4" t="s">
        <v>44</v>
      </c>
      <c r="C8" s="4">
        <v>212.86857479561118</v>
      </c>
      <c r="D8" s="4">
        <v>353.6739906728551</v>
      </c>
      <c r="E8" s="4">
        <v>8297.5754999118708</v>
      </c>
      <c r="F8" s="4">
        <v>5544.7576764707537</v>
      </c>
      <c r="G8" s="4">
        <v>7142.2884878304485</v>
      </c>
      <c r="H8" s="4">
        <v>6576.7903764872763</v>
      </c>
      <c r="I8" s="4">
        <v>6356.3770335663958</v>
      </c>
      <c r="J8" s="4">
        <v>5747.3142690193463</v>
      </c>
      <c r="K8" s="4">
        <v>28.560987630745501</v>
      </c>
    </row>
    <row r="9" spans="2:11">
      <c r="B9" s="4" t="s">
        <v>46</v>
      </c>
      <c r="C9" s="4">
        <v>184.94659566139114</v>
      </c>
      <c r="D9" s="4">
        <v>302.39579951074415</v>
      </c>
      <c r="E9" s="4">
        <v>6921.936814296193</v>
      </c>
      <c r="F9" s="4">
        <v>4516.6924610679143</v>
      </c>
      <c r="G9" s="4">
        <v>5912.6706013279345</v>
      </c>
      <c r="H9" s="4">
        <v>5416.1796143142037</v>
      </c>
      <c r="I9" s="4">
        <v>5223.5823128563206</v>
      </c>
      <c r="J9" s="4">
        <v>4691.4181768345843</v>
      </c>
      <c r="K9" s="4">
        <v>23.156246102489646</v>
      </c>
    </row>
    <row r="10" spans="2:11">
      <c r="B10" s="4" t="s">
        <v>49</v>
      </c>
      <c r="C10" s="4">
        <v>234.74847548900763</v>
      </c>
      <c r="D10" s="4">
        <v>393.95185370138506</v>
      </c>
      <c r="E10" s="4">
        <v>9380.7145143811667</v>
      </c>
      <c r="F10" s="4">
        <v>6354.2011737044813</v>
      </c>
      <c r="G10" s="4">
        <v>8110.4439748748155</v>
      </c>
      <c r="H10" s="4">
        <v>7490.0078899931523</v>
      </c>
      <c r="I10" s="4">
        <v>7247.6908237814314</v>
      </c>
      <c r="J10" s="4">
        <v>6578.0743237326642</v>
      </c>
      <c r="K10" s="4">
        <v>32.617088542001248</v>
      </c>
    </row>
    <row r="11" spans="2:11">
      <c r="B11" s="4" t="s">
        <v>52</v>
      </c>
      <c r="C11" s="4">
        <v>263.34453100504766</v>
      </c>
      <c r="D11" s="4">
        <v>446.84113691306845</v>
      </c>
      <c r="E11" s="4">
        <v>10786.655254235799</v>
      </c>
      <c r="F11" s="4">
        <v>7415.6735687769615</v>
      </c>
      <c r="G11" s="4">
        <v>9371.6511576340308</v>
      </c>
      <c r="H11" s="4">
        <v>8682.1011278746664</v>
      </c>
      <c r="I11" s="4">
        <v>8412.2179915871711</v>
      </c>
      <c r="J11" s="4">
        <v>7666.3916460707624</v>
      </c>
      <c r="K11" s="4">
        <v>37.865220456311825</v>
      </c>
    </row>
    <row r="12" spans="2:11">
      <c r="B12" s="4" t="s">
        <v>55</v>
      </c>
      <c r="C12" s="4">
        <v>223.43098516464147</v>
      </c>
      <c r="D12" s="4">
        <v>360.07353578346135</v>
      </c>
      <c r="E12" s="4">
        <v>8552.9800748351026</v>
      </c>
      <c r="F12" s="4">
        <v>5752.4283134382731</v>
      </c>
      <c r="G12" s="4">
        <v>7377.6950510943543</v>
      </c>
      <c r="H12" s="4">
        <v>6802.8068851228963</v>
      </c>
      <c r="I12" s="4">
        <v>6578.5684955509905</v>
      </c>
      <c r="J12" s="4">
        <v>5958.9440599824266</v>
      </c>
      <c r="K12" s="4">
        <v>29.600893118641409</v>
      </c>
    </row>
    <row r="13" spans="2:11">
      <c r="B13" s="4" t="s">
        <v>58</v>
      </c>
      <c r="C13" s="4">
        <v>245.31088585803792</v>
      </c>
      <c r="D13" s="4">
        <v>400.35139881199132</v>
      </c>
      <c r="E13" s="4">
        <v>9636.1190893043968</v>
      </c>
      <c r="F13" s="4">
        <v>6561.8718106719998</v>
      </c>
      <c r="G13" s="4">
        <v>8345.8505381387204</v>
      </c>
      <c r="H13" s="4">
        <v>7716.0243986287733</v>
      </c>
      <c r="I13" s="4">
        <v>7469.8822857660271</v>
      </c>
      <c r="J13" s="4">
        <v>6789.7041146957463</v>
      </c>
      <c r="K13" s="4">
        <v>33.656994029897156</v>
      </c>
    </row>
    <row r="14" spans="2:11">
      <c r="B14" s="4" t="s">
        <v>61</v>
      </c>
      <c r="C14" s="4">
        <v>273.90694137407809</v>
      </c>
      <c r="D14" s="4">
        <v>453.24068202367471</v>
      </c>
      <c r="E14" s="4">
        <v>11042.05982915903</v>
      </c>
      <c r="F14" s="4">
        <v>7623.3442057444827</v>
      </c>
      <c r="G14" s="4">
        <v>9607.0577208979357</v>
      </c>
      <c r="H14" s="4">
        <v>8908.1176365102892</v>
      </c>
      <c r="I14" s="4">
        <v>8634.4094535717686</v>
      </c>
      <c r="J14" s="4">
        <v>7878.0214370338408</v>
      </c>
      <c r="K14" s="4">
        <v>38.90512594420774</v>
      </c>
    </row>
    <row r="15" spans="2:11">
      <c r="B15" s="4" t="s">
        <v>64</v>
      </c>
      <c r="C15" s="4">
        <v>273.90694137407809</v>
      </c>
      <c r="D15" s="4">
        <v>453.24068202367471</v>
      </c>
      <c r="E15" s="4">
        <v>11042.05982915903</v>
      </c>
      <c r="F15" s="4">
        <v>7623.3442057444827</v>
      </c>
      <c r="G15" s="4">
        <v>9607.0577208979357</v>
      </c>
      <c r="H15" s="4">
        <v>8908.1176365102892</v>
      </c>
      <c r="I15" s="4">
        <v>8634.4094535717686</v>
      </c>
      <c r="J15" s="4">
        <v>7878.0214370338408</v>
      </c>
      <c r="K15" s="4">
        <v>38.90512594420774</v>
      </c>
    </row>
    <row r="16" spans="2:11">
      <c r="B16" s="4" t="s">
        <v>67</v>
      </c>
      <c r="C16" s="4">
        <v>245.31088585803792</v>
      </c>
      <c r="D16" s="4">
        <v>400.35139881199132</v>
      </c>
      <c r="E16" s="4">
        <v>9636.1190893043968</v>
      </c>
      <c r="F16" s="4">
        <v>6561.8718106719998</v>
      </c>
      <c r="G16" s="4">
        <v>8345.8505381387204</v>
      </c>
      <c r="H16" s="4">
        <v>7716.0243986287733</v>
      </c>
      <c r="I16" s="4">
        <v>7469.8822857660271</v>
      </c>
      <c r="J16" s="4">
        <v>6789.7041146957463</v>
      </c>
      <c r="K16" s="4">
        <v>33.656994029897156</v>
      </c>
    </row>
    <row r="17" spans="2:11">
      <c r="B17" s="4" t="s">
        <v>70</v>
      </c>
      <c r="C17" s="4">
        <v>102.66714042275798</v>
      </c>
      <c r="D17" s="4">
        <v>172.32882069087216</v>
      </c>
      <c r="E17" s="4">
        <v>4172.9365235774776</v>
      </c>
      <c r="F17" s="4">
        <v>2908.9911398694476</v>
      </c>
      <c r="G17" s="4">
        <v>3642.3513211511304</v>
      </c>
      <c r="H17" s="4">
        <v>3384.6782167352881</v>
      </c>
      <c r="I17" s="4">
        <v>3283.4886380500047</v>
      </c>
      <c r="J17" s="4">
        <v>3003.8423765824286</v>
      </c>
      <c r="K17" s="4">
        <v>14.90237410346356</v>
      </c>
    </row>
    <row r="18" spans="2:11">
      <c r="B18" s="4" t="s">
        <v>73</v>
      </c>
      <c r="C18" s="4">
        <v>308.00142126827393</v>
      </c>
      <c r="D18" s="4">
        <v>516.98646207261652</v>
      </c>
      <c r="E18" s="4">
        <v>12518.809570732432</v>
      </c>
      <c r="F18" s="4">
        <v>8726.9734196083427</v>
      </c>
      <c r="G18" s="4">
        <v>10927.053963453391</v>
      </c>
      <c r="H18" s="4">
        <v>10154.034650205864</v>
      </c>
      <c r="I18" s="4">
        <v>9850.4659141500142</v>
      </c>
      <c r="J18" s="4">
        <v>9011.5271297472864</v>
      </c>
      <c r="K18" s="4">
        <v>44.70712231039068</v>
      </c>
    </row>
    <row r="19" spans="2:11">
      <c r="B19" s="4" t="s">
        <v>76</v>
      </c>
      <c r="C19" s="4">
        <v>115.55145616732177</v>
      </c>
      <c r="D19" s="4">
        <v>196.7202232588501</v>
      </c>
      <c r="E19" s="4">
        <v>4757.9258698410222</v>
      </c>
      <c r="F19" s="4">
        <v>3346.1751217997257</v>
      </c>
      <c r="G19" s="4">
        <v>4165.2454292483699</v>
      </c>
      <c r="H19" s="4">
        <v>3878.2270956156403</v>
      </c>
      <c r="I19" s="4">
        <v>3765.2087656156214</v>
      </c>
      <c r="J19" s="4">
        <v>3452.8614185359816</v>
      </c>
      <c r="K19" s="4">
        <v>17.20073649062104</v>
      </c>
    </row>
    <row r="20" spans="2:11">
      <c r="B20" s="4" t="s">
        <v>79</v>
      </c>
      <c r="C20" s="4">
        <v>442.44946142189889</v>
      </c>
      <c r="D20" s="4">
        <v>766.41174839729354</v>
      </c>
      <c r="E20" s="4">
        <v>18990.209518225511</v>
      </c>
      <c r="F20" s="4">
        <v>13563.287817091128</v>
      </c>
      <c r="G20" s="4">
        <v>16711.530083058562</v>
      </c>
      <c r="H20" s="4">
        <v>15613.881413693191</v>
      </c>
      <c r="I20" s="4">
        <v>15179.458019982418</v>
      </c>
      <c r="J20" s="4">
        <v>13978.765974491173</v>
      </c>
      <c r="K20" s="4">
        <v>70.132580614156467</v>
      </c>
    </row>
    <row r="21" spans="2:11">
      <c r="B21" s="4" t="s">
        <v>82</v>
      </c>
      <c r="C21" s="4">
        <v>359.86796530181289</v>
      </c>
      <c r="D21" s="4">
        <v>617.03907490925076</v>
      </c>
      <c r="E21" s="4">
        <v>14593.289250896818</v>
      </c>
      <c r="F21" s="4">
        <v>10298.321753551463</v>
      </c>
      <c r="G21" s="4">
        <v>12790.230375962648</v>
      </c>
      <c r="H21" s="4">
        <v>11917.428397674668</v>
      </c>
      <c r="I21" s="4">
        <v>11573.588266554223</v>
      </c>
      <c r="J21" s="4">
        <v>10623.333553440694</v>
      </c>
      <c r="K21" s="4">
        <v>52.903133346899679</v>
      </c>
    </row>
    <row r="22" spans="2:11">
      <c r="B22" s="4" t="s">
        <v>85</v>
      </c>
      <c r="C22" s="4">
        <v>359.86796530181289</v>
      </c>
      <c r="D22" s="4">
        <v>617.03907490925076</v>
      </c>
      <c r="E22" s="4">
        <v>14593.289250896818</v>
      </c>
      <c r="F22" s="4">
        <v>10298.321753551463</v>
      </c>
      <c r="G22" s="4">
        <v>12790.230375962648</v>
      </c>
      <c r="H22" s="4">
        <v>11917.428397674668</v>
      </c>
      <c r="I22" s="4">
        <v>11573.588266554223</v>
      </c>
      <c r="J22" s="4">
        <v>10623.333553440694</v>
      </c>
      <c r="K22" s="4">
        <v>52.903133346899679</v>
      </c>
    </row>
    <row r="23" spans="2:11">
      <c r="B23" s="4" t="s">
        <v>88</v>
      </c>
      <c r="C23" s="4">
        <v>455.66305822174627</v>
      </c>
      <c r="D23" s="4">
        <v>793.29015352999386</v>
      </c>
      <c r="E23" s="4">
        <v>19309.721159599267</v>
      </c>
      <c r="F23" s="4">
        <v>13823.084205243411</v>
      </c>
      <c r="G23" s="4">
        <v>17006.024171276098</v>
      </c>
      <c r="H23" s="4">
        <v>15896.628524520936</v>
      </c>
      <c r="I23" s="4">
        <v>15457.419989689777</v>
      </c>
      <c r="J23" s="4">
        <v>14243.515272323924</v>
      </c>
      <c r="K23" s="4">
        <v>71.433504489193041</v>
      </c>
    </row>
    <row r="24" spans="2:11">
      <c r="B24" s="4" t="s">
        <v>91</v>
      </c>
      <c r="C24" s="4">
        <v>571.46634696411252</v>
      </c>
      <c r="D24" s="4">
        <v>1005.9607220734181</v>
      </c>
      <c r="E24" s="4">
        <v>25015.028908371482</v>
      </c>
      <c r="F24" s="4">
        <v>18086.869820618052</v>
      </c>
      <c r="G24" s="4">
        <v>22105.726970599419</v>
      </c>
      <c r="H24" s="4">
        <v>20710.13198583926</v>
      </c>
      <c r="I24" s="4">
        <v>20155.559526920733</v>
      </c>
      <c r="J24" s="4">
        <v>18622.726339613626</v>
      </c>
      <c r="K24" s="4">
        <v>93.849066107008696</v>
      </c>
    </row>
    <row r="25" spans="2:11">
      <c r="B25" s="4" t="s">
        <v>94</v>
      </c>
      <c r="C25" s="4">
        <v>184.94659566139114</v>
      </c>
      <c r="D25" s="4">
        <v>284.92969903454662</v>
      </c>
      <c r="E25" s="4">
        <v>6921.936814296193</v>
      </c>
      <c r="F25" s="4">
        <v>4516.6924610679143</v>
      </c>
      <c r="G25" s="4">
        <v>5912.6706013279345</v>
      </c>
      <c r="H25" s="4">
        <v>5416.1796143142037</v>
      </c>
      <c r="I25" s="4">
        <v>5223.5823128563206</v>
      </c>
      <c r="J25" s="4">
        <v>4691.4181768345843</v>
      </c>
      <c r="K25" s="4">
        <v>23.156246102489646</v>
      </c>
    </row>
    <row r="26" spans="2:11">
      <c r="B26" s="4" t="s">
        <v>97</v>
      </c>
      <c r="C26" s="4">
        <v>184.94659566139114</v>
      </c>
      <c r="D26" s="4">
        <v>284.92969903454662</v>
      </c>
      <c r="E26" s="4">
        <v>6921.936814296193</v>
      </c>
      <c r="F26" s="4">
        <v>4516.6924610679143</v>
      </c>
      <c r="G26" s="4">
        <v>5912.6706013279345</v>
      </c>
      <c r="H26" s="4">
        <v>5416.1796143142037</v>
      </c>
      <c r="I26" s="4">
        <v>5223.5823128563206</v>
      </c>
      <c r="J26" s="4">
        <v>4691.4181768345843</v>
      </c>
      <c r="K26" s="4">
        <v>23.156246102489646</v>
      </c>
    </row>
    <row r="27" spans="2:11">
      <c r="B27" s="4" t="s">
        <v>100</v>
      </c>
      <c r="C27" s="4">
        <v>212.86857479561118</v>
      </c>
      <c r="D27" s="4">
        <v>332.00232385676139</v>
      </c>
      <c r="E27" s="4">
        <v>8297.5754999118708</v>
      </c>
      <c r="F27" s="4">
        <v>5544.7576764707537</v>
      </c>
      <c r="G27" s="4">
        <v>7142.2884878304485</v>
      </c>
      <c r="H27" s="4">
        <v>6576.7903764872763</v>
      </c>
      <c r="I27" s="4">
        <v>6356.3770335663958</v>
      </c>
      <c r="J27" s="4">
        <v>5747.3142690193463</v>
      </c>
      <c r="K27" s="4">
        <v>28.560987630745501</v>
      </c>
    </row>
    <row r="28" spans="2:11">
      <c r="B28" s="4" t="s">
        <v>103</v>
      </c>
      <c r="C28" s="4">
        <v>245.31088585803792</v>
      </c>
      <c r="D28" s="4">
        <v>375.07696185029107</v>
      </c>
      <c r="E28" s="4">
        <v>9636.1190893043968</v>
      </c>
      <c r="F28" s="4">
        <v>6561.8718106719998</v>
      </c>
      <c r="G28" s="4">
        <v>8345.8505381387204</v>
      </c>
      <c r="H28" s="4">
        <v>7716.0243986287733</v>
      </c>
      <c r="I28" s="4">
        <v>7469.8822857660271</v>
      </c>
      <c r="J28" s="4">
        <v>6789.7041146957463</v>
      </c>
      <c r="K28" s="4">
        <v>33.656994029897156</v>
      </c>
    </row>
    <row r="29" spans="2:11">
      <c r="B29" s="4" t="s">
        <v>106</v>
      </c>
      <c r="C29" s="4">
        <v>223.43098516464147</v>
      </c>
      <c r="D29" s="4">
        <v>338.11075601043694</v>
      </c>
      <c r="E29" s="4">
        <v>8552.9800748351026</v>
      </c>
      <c r="F29" s="4">
        <v>5752.4283134382731</v>
      </c>
      <c r="G29" s="4">
        <v>7377.6950510943543</v>
      </c>
      <c r="H29" s="4">
        <v>6802.8068851228963</v>
      </c>
      <c r="I29" s="4">
        <v>6578.5684955509905</v>
      </c>
      <c r="J29" s="4">
        <v>5958.9440599824266</v>
      </c>
      <c r="K29" s="4">
        <v>29.600893118641409</v>
      </c>
    </row>
    <row r="30" spans="2:11">
      <c r="B30" s="4" t="s">
        <v>109</v>
      </c>
      <c r="C30" s="4">
        <v>273.90694137407809</v>
      </c>
      <c r="D30" s="4">
        <v>423.59417500831944</v>
      </c>
      <c r="E30" s="4">
        <v>11042.05982915903</v>
      </c>
      <c r="F30" s="4">
        <v>7623.3442057444827</v>
      </c>
      <c r="G30" s="4">
        <v>9607.0577208979357</v>
      </c>
      <c r="H30" s="4">
        <v>8908.1176365102892</v>
      </c>
      <c r="I30" s="4">
        <v>8634.4094535717686</v>
      </c>
      <c r="J30" s="4">
        <v>7878.0214370338408</v>
      </c>
      <c r="K30" s="4">
        <v>38.90512594420774</v>
      </c>
    </row>
    <row r="31" spans="2:11">
      <c r="B31" s="4" t="s">
        <v>112</v>
      </c>
      <c r="C31" s="4">
        <v>273.90694137407809</v>
      </c>
      <c r="D31" s="4">
        <v>423.59417500831944</v>
      </c>
      <c r="E31" s="4">
        <v>11042.05982915903</v>
      </c>
      <c r="F31" s="4">
        <v>7623.3442057444827</v>
      </c>
      <c r="G31" s="4">
        <v>9607.0577208979357</v>
      </c>
      <c r="H31" s="4">
        <v>8908.1176365102892</v>
      </c>
      <c r="I31" s="4">
        <v>8634.4094535717686</v>
      </c>
      <c r="J31" s="4">
        <v>7878.0214370338408</v>
      </c>
      <c r="K31" s="4">
        <v>38.90512594420774</v>
      </c>
    </row>
    <row r="32" spans="2:11">
      <c r="B32" s="4" t="s">
        <v>115</v>
      </c>
      <c r="C32" s="4">
        <v>308.00142126827393</v>
      </c>
      <c r="D32" s="4">
        <v>482.00442368044276</v>
      </c>
      <c r="E32" s="4">
        <v>12518.809570732432</v>
      </c>
      <c r="F32" s="4">
        <v>8726.9734196083427</v>
      </c>
      <c r="G32" s="4">
        <v>10927.053963453391</v>
      </c>
      <c r="H32" s="4">
        <v>10154.034650205864</v>
      </c>
      <c r="I32" s="4">
        <v>9850.4659141500142</v>
      </c>
      <c r="J32" s="4">
        <v>9011.5271297472864</v>
      </c>
      <c r="K32" s="4">
        <v>44.70712231039068</v>
      </c>
    </row>
    <row r="33" spans="2:11">
      <c r="B33" s="4" t="s">
        <v>118</v>
      </c>
      <c r="C33" s="4">
        <v>398.43287695701906</v>
      </c>
      <c r="D33" s="4">
        <v>636.31684341470327</v>
      </c>
      <c r="E33" s="4">
        <v>16821.634142264782</v>
      </c>
      <c r="F33" s="4">
        <v>11942.631946973197</v>
      </c>
      <c r="G33" s="4">
        <v>14773.143864066176</v>
      </c>
      <c r="H33" s="4">
        <v>13784.278956128477</v>
      </c>
      <c r="I33" s="4">
        <v>13393.705145308983</v>
      </c>
      <c r="J33" s="4">
        <v>12314.237134885136</v>
      </c>
      <c r="K33" s="4">
        <v>61.612473180304868</v>
      </c>
    </row>
    <row r="34" spans="2:11">
      <c r="B34" s="4" t="s">
        <v>121</v>
      </c>
      <c r="C34" s="4">
        <v>132.81095898567301</v>
      </c>
      <c r="D34" s="4">
        <v>212.10561447156775</v>
      </c>
      <c r="E34" s="4">
        <v>5607.2113807549276</v>
      </c>
      <c r="F34" s="4">
        <v>3980.8773156577322</v>
      </c>
      <c r="G34" s="4">
        <v>4924.3812880220585</v>
      </c>
      <c r="H34" s="4">
        <v>4594.759652042826</v>
      </c>
      <c r="I34" s="4">
        <v>4464.5683817696608</v>
      </c>
      <c r="J34" s="4">
        <v>4104.7457116283786</v>
      </c>
      <c r="K34" s="4">
        <v>20.537491060101623</v>
      </c>
    </row>
    <row r="35" spans="2:11">
      <c r="B35" s="4" t="s">
        <v>124</v>
      </c>
      <c r="C35" s="4">
        <v>151.88768607391543</v>
      </c>
      <c r="D35" s="4">
        <v>245.46204232927656</v>
      </c>
      <c r="E35" s="4">
        <v>6436.5737198664219</v>
      </c>
      <c r="F35" s="4">
        <v>4607.694735081137</v>
      </c>
      <c r="G35" s="4">
        <v>5668.6747237586997</v>
      </c>
      <c r="H35" s="4">
        <v>5298.8761748403122</v>
      </c>
      <c r="I35" s="4">
        <v>5152.4733298965921</v>
      </c>
      <c r="J35" s="4">
        <v>4747.8384241079748</v>
      </c>
      <c r="K35" s="4">
        <v>23.811168163064348</v>
      </c>
    </row>
    <row r="36" spans="2:11"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2:11">
      <c r="B37" s="31" t="s">
        <v>25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2:11" ht="52.8">
      <c r="B38" s="3" t="s">
        <v>24</v>
      </c>
      <c r="C38" s="3" t="s">
        <v>18</v>
      </c>
      <c r="D38" s="3" t="s">
        <v>17</v>
      </c>
      <c r="E38" s="3" t="s">
        <v>23</v>
      </c>
      <c r="F38" s="3" t="s">
        <v>22</v>
      </c>
      <c r="G38" s="3" t="s">
        <v>16</v>
      </c>
      <c r="H38" s="3" t="s">
        <v>15</v>
      </c>
      <c r="I38" s="3" t="s">
        <v>14</v>
      </c>
      <c r="J38" s="3" t="s">
        <v>13</v>
      </c>
      <c r="K38" s="3" t="s">
        <v>11</v>
      </c>
    </row>
    <row r="39" spans="2:11">
      <c r="B39" s="4" t="s">
        <v>44</v>
      </c>
      <c r="C39" s="6">
        <v>2.820815613437918E-2</v>
      </c>
      <c r="D39" s="6">
        <v>3.3735760698629692E-2</v>
      </c>
      <c r="E39" s="6">
        <v>6.8722157405500788E-3</v>
      </c>
      <c r="F39" s="6">
        <v>6.8722157405500788E-3</v>
      </c>
      <c r="G39" s="6">
        <v>9.1067903035961604E-3</v>
      </c>
      <c r="H39" s="6">
        <v>3.0234562960088046E-3</v>
      </c>
      <c r="I39" s="6">
        <v>1.0782863522473039E-3</v>
      </c>
      <c r="J39" s="6">
        <v>1.0782863522473039E-3</v>
      </c>
      <c r="K39" s="5">
        <v>0</v>
      </c>
    </row>
    <row r="40" spans="2:11">
      <c r="B40" s="4" t="s">
        <v>46</v>
      </c>
      <c r="C40" s="6">
        <v>2.820815613437918E-2</v>
      </c>
      <c r="D40" s="6">
        <v>3.3735760698629692E-2</v>
      </c>
      <c r="E40" s="6">
        <v>6.8722157405500788E-3</v>
      </c>
      <c r="F40" s="6">
        <v>6.8722157405500788E-3</v>
      </c>
      <c r="G40" s="6">
        <v>9.1067903035961604E-3</v>
      </c>
      <c r="H40" s="6">
        <v>3.0234562960088046E-3</v>
      </c>
      <c r="I40" s="6">
        <v>1.0782863522473039E-3</v>
      </c>
      <c r="J40" s="6">
        <v>1.0782863522473039E-3</v>
      </c>
      <c r="K40" s="5">
        <v>0</v>
      </c>
    </row>
    <row r="41" spans="2:11">
      <c r="B41" s="4" t="s">
        <v>49</v>
      </c>
      <c r="C41" s="6">
        <v>2.820815613437918E-2</v>
      </c>
      <c r="D41" s="6">
        <v>3.3735760698629692E-2</v>
      </c>
      <c r="E41" s="6">
        <v>6.8722157405500788E-3</v>
      </c>
      <c r="F41" s="6">
        <v>6.8722157405500788E-3</v>
      </c>
      <c r="G41" s="6">
        <v>9.1067903035961604E-3</v>
      </c>
      <c r="H41" s="6">
        <v>3.0234562960088046E-3</v>
      </c>
      <c r="I41" s="6">
        <v>1.0782863522473039E-3</v>
      </c>
      <c r="J41" s="6">
        <v>1.0782863522473039E-3</v>
      </c>
      <c r="K41" s="5">
        <v>0</v>
      </c>
    </row>
    <row r="42" spans="2:11">
      <c r="B42" s="4" t="s">
        <v>52</v>
      </c>
      <c r="C42" s="6">
        <v>2.820815613437918E-2</v>
      </c>
      <c r="D42" s="6">
        <v>3.3735760698629692E-2</v>
      </c>
      <c r="E42" s="6">
        <v>6.8722157405500788E-3</v>
      </c>
      <c r="F42" s="6">
        <v>6.8722157405500788E-3</v>
      </c>
      <c r="G42" s="6">
        <v>9.1067903035961604E-3</v>
      </c>
      <c r="H42" s="6">
        <v>3.0234562960088046E-3</v>
      </c>
      <c r="I42" s="6">
        <v>1.0782863522473039E-3</v>
      </c>
      <c r="J42" s="6">
        <v>1.0782863522473039E-3</v>
      </c>
      <c r="K42" s="5">
        <v>0</v>
      </c>
    </row>
    <row r="43" spans="2:11">
      <c r="B43" s="4" t="s">
        <v>55</v>
      </c>
      <c r="C43" s="6">
        <v>2.820815613437918E-2</v>
      </c>
      <c r="D43" s="6">
        <v>3.3735760698629692E-2</v>
      </c>
      <c r="E43" s="6">
        <v>6.8722157405500788E-3</v>
      </c>
      <c r="F43" s="6">
        <v>6.8722157405500788E-3</v>
      </c>
      <c r="G43" s="6">
        <v>9.1067903035961604E-3</v>
      </c>
      <c r="H43" s="6">
        <v>3.0234562960088046E-3</v>
      </c>
      <c r="I43" s="6">
        <v>1.0782863522473039E-3</v>
      </c>
      <c r="J43" s="6">
        <v>1.0782863522473039E-3</v>
      </c>
      <c r="K43" s="5">
        <v>0</v>
      </c>
    </row>
    <row r="44" spans="2:11">
      <c r="B44" s="4" t="s">
        <v>58</v>
      </c>
      <c r="C44" s="6">
        <v>2.820815613437918E-2</v>
      </c>
      <c r="D44" s="6">
        <v>3.3735760698629692E-2</v>
      </c>
      <c r="E44" s="6">
        <v>6.8722157405500788E-3</v>
      </c>
      <c r="F44" s="6">
        <v>6.8722157405500788E-3</v>
      </c>
      <c r="G44" s="6">
        <v>9.1067903035961604E-3</v>
      </c>
      <c r="H44" s="6">
        <v>3.0234562960088046E-3</v>
      </c>
      <c r="I44" s="6">
        <v>1.0782863522473039E-3</v>
      </c>
      <c r="J44" s="6">
        <v>1.0782863522473039E-3</v>
      </c>
      <c r="K44" s="5">
        <v>0</v>
      </c>
    </row>
    <row r="45" spans="2:11">
      <c r="B45" s="4" t="s">
        <v>61</v>
      </c>
      <c r="C45" s="6">
        <v>2.820815613437918E-2</v>
      </c>
      <c r="D45" s="6">
        <v>3.3735760698629692E-2</v>
      </c>
      <c r="E45" s="6">
        <v>6.8722157405500788E-3</v>
      </c>
      <c r="F45" s="6">
        <v>6.8722157405500788E-3</v>
      </c>
      <c r="G45" s="6">
        <v>9.1067903035961604E-3</v>
      </c>
      <c r="H45" s="6">
        <v>3.0234562960088046E-3</v>
      </c>
      <c r="I45" s="6">
        <v>1.0782863522473039E-3</v>
      </c>
      <c r="J45" s="6">
        <v>1.0782863522473039E-3</v>
      </c>
      <c r="K45" s="5">
        <v>0</v>
      </c>
    </row>
    <row r="46" spans="2:11">
      <c r="B46" s="4" t="s">
        <v>64</v>
      </c>
      <c r="C46" s="6">
        <v>1.8961669639167379E-2</v>
      </c>
      <c r="D46" s="6">
        <v>3.3735760698629692E-2</v>
      </c>
      <c r="E46" s="6">
        <v>6.8722157405500788E-3</v>
      </c>
      <c r="F46" s="6">
        <v>6.8722157405500788E-3</v>
      </c>
      <c r="G46" s="6">
        <v>9.1067903035961604E-3</v>
      </c>
      <c r="H46" s="6">
        <v>3.0234562960088046E-3</v>
      </c>
      <c r="I46" s="6">
        <v>1.0782863522473039E-3</v>
      </c>
      <c r="J46" s="6">
        <v>1.0782863522473039E-3</v>
      </c>
      <c r="K46" s="5">
        <v>0</v>
      </c>
    </row>
    <row r="47" spans="2:11">
      <c r="B47" s="4" t="s">
        <v>67</v>
      </c>
      <c r="C47" s="6">
        <v>1.8961669639167379E-2</v>
      </c>
      <c r="D47" s="6">
        <v>3.3735760698629692E-2</v>
      </c>
      <c r="E47" s="6">
        <v>6.8722157405500788E-3</v>
      </c>
      <c r="F47" s="6">
        <v>6.8722157405500788E-3</v>
      </c>
      <c r="G47" s="6">
        <v>9.1067903035961604E-3</v>
      </c>
      <c r="H47" s="6">
        <v>3.0234562960088046E-3</v>
      </c>
      <c r="I47" s="6">
        <v>1.0782863522473039E-3</v>
      </c>
      <c r="J47" s="6">
        <v>1.0782863522473039E-3</v>
      </c>
      <c r="K47" s="5">
        <v>0</v>
      </c>
    </row>
    <row r="48" spans="2:11">
      <c r="B48" s="4" t="s">
        <v>70</v>
      </c>
      <c r="C48" s="6">
        <v>2.820815613437918E-2</v>
      </c>
      <c r="D48" s="6">
        <v>3.3735760698629692E-2</v>
      </c>
      <c r="E48" s="6">
        <v>6.8722157405500788E-3</v>
      </c>
      <c r="F48" s="6">
        <v>6.8722157405500788E-3</v>
      </c>
      <c r="G48" s="6">
        <v>9.1067903035961604E-3</v>
      </c>
      <c r="H48" s="6">
        <v>3.0234562960088046E-3</v>
      </c>
      <c r="I48" s="6">
        <v>1.0782863522473039E-3</v>
      </c>
      <c r="J48" s="6">
        <v>1.0782863522473039E-3</v>
      </c>
      <c r="K48" s="5">
        <v>0</v>
      </c>
    </row>
    <row r="49" spans="2:11">
      <c r="B49" s="4" t="s">
        <v>73</v>
      </c>
      <c r="C49" s="6">
        <v>1.8961669639167379E-2</v>
      </c>
      <c r="D49" s="6">
        <v>3.3735760698629692E-2</v>
      </c>
      <c r="E49" s="6">
        <v>6.8722157405500788E-3</v>
      </c>
      <c r="F49" s="6">
        <v>6.8722157405500788E-3</v>
      </c>
      <c r="G49" s="6">
        <v>9.1067903035961604E-3</v>
      </c>
      <c r="H49" s="6">
        <v>3.0234562960088046E-3</v>
      </c>
      <c r="I49" s="6">
        <v>1.0782863522473039E-3</v>
      </c>
      <c r="J49" s="6">
        <v>1.0782863522473039E-3</v>
      </c>
      <c r="K49" s="5">
        <v>0</v>
      </c>
    </row>
    <row r="50" spans="2:11">
      <c r="B50" s="4" t="s">
        <v>76</v>
      </c>
      <c r="C50" s="6">
        <v>2.820815613437918E-2</v>
      </c>
      <c r="D50" s="6">
        <v>3.3735760698629692E-2</v>
      </c>
      <c r="E50" s="6">
        <v>6.8722157405500788E-3</v>
      </c>
      <c r="F50" s="6">
        <v>6.8722157405500788E-3</v>
      </c>
      <c r="G50" s="6">
        <v>9.1067903035961604E-3</v>
      </c>
      <c r="H50" s="6">
        <v>3.0234562960088046E-3</v>
      </c>
      <c r="I50" s="6">
        <v>1.0782863522473039E-3</v>
      </c>
      <c r="J50" s="6">
        <v>1.0782863522473039E-3</v>
      </c>
      <c r="K50" s="5">
        <v>0</v>
      </c>
    </row>
    <row r="51" spans="2:11">
      <c r="B51" s="4" t="s">
        <v>79</v>
      </c>
      <c r="C51" s="6">
        <v>2.820815613437918E-2</v>
      </c>
      <c r="D51" s="6">
        <v>3.3735760698629692E-2</v>
      </c>
      <c r="E51" s="6">
        <v>6.8722157405500788E-3</v>
      </c>
      <c r="F51" s="6">
        <v>6.8722157405500788E-3</v>
      </c>
      <c r="G51" s="6">
        <v>9.1067903035961604E-3</v>
      </c>
      <c r="H51" s="6">
        <v>3.0234562960088046E-3</v>
      </c>
      <c r="I51" s="6">
        <v>1.0782863522473039E-3</v>
      </c>
      <c r="J51" s="6">
        <v>1.0782863522473039E-3</v>
      </c>
      <c r="K51" s="5">
        <v>0</v>
      </c>
    </row>
    <row r="52" spans="2:11">
      <c r="B52" s="4" t="s">
        <v>82</v>
      </c>
      <c r="C52" s="6">
        <v>2.820815613437918E-2</v>
      </c>
      <c r="D52" s="6">
        <v>3.3735760698629692E-2</v>
      </c>
      <c r="E52" s="6">
        <v>6.8722157405500788E-3</v>
      </c>
      <c r="F52" s="6">
        <v>6.8722157405500788E-3</v>
      </c>
      <c r="G52" s="6">
        <v>9.1067903035961604E-3</v>
      </c>
      <c r="H52" s="6">
        <v>3.0234562960088046E-3</v>
      </c>
      <c r="I52" s="6">
        <v>1.0782863522473039E-3</v>
      </c>
      <c r="J52" s="6">
        <v>1.0782863522473039E-3</v>
      </c>
      <c r="K52" s="5">
        <v>0</v>
      </c>
    </row>
    <row r="53" spans="2:11">
      <c r="B53" s="4" t="s">
        <v>85</v>
      </c>
      <c r="C53" s="6">
        <v>1.8961669639167379E-2</v>
      </c>
      <c r="D53" s="6">
        <v>3.3735760698629692E-2</v>
      </c>
      <c r="E53" s="6">
        <v>6.8722157405500788E-3</v>
      </c>
      <c r="F53" s="6">
        <v>6.8722157405500788E-3</v>
      </c>
      <c r="G53" s="6">
        <v>9.1067903035961604E-3</v>
      </c>
      <c r="H53" s="6">
        <v>3.0234562960088046E-3</v>
      </c>
      <c r="I53" s="6">
        <v>1.0782863522473039E-3</v>
      </c>
      <c r="J53" s="6">
        <v>1.0782863522473039E-3</v>
      </c>
      <c r="K53" s="5">
        <v>0</v>
      </c>
    </row>
    <row r="54" spans="2:11">
      <c r="B54" s="4" t="s">
        <v>88</v>
      </c>
      <c r="C54" s="6">
        <v>1.8961669639167379E-2</v>
      </c>
      <c r="D54" s="6">
        <v>3.3735760698629692E-2</v>
      </c>
      <c r="E54" s="6">
        <v>6.8722157405500788E-3</v>
      </c>
      <c r="F54" s="6">
        <v>6.8722157405500788E-3</v>
      </c>
      <c r="G54" s="6">
        <v>9.1067903035961604E-3</v>
      </c>
      <c r="H54" s="6">
        <v>3.0234562960088046E-3</v>
      </c>
      <c r="I54" s="6">
        <v>1.0782863522473039E-3</v>
      </c>
      <c r="J54" s="6">
        <v>1.0782863522473039E-3</v>
      </c>
      <c r="K54" s="5">
        <v>0</v>
      </c>
    </row>
    <row r="55" spans="2:11">
      <c r="B55" s="4" t="s">
        <v>91</v>
      </c>
      <c r="C55" s="6">
        <v>1.8961669639167379E-2</v>
      </c>
      <c r="D55" s="6">
        <v>3.3735760698629692E-2</v>
      </c>
      <c r="E55" s="6">
        <v>6.8722157405500788E-3</v>
      </c>
      <c r="F55" s="6">
        <v>6.8722157405500788E-3</v>
      </c>
      <c r="G55" s="6">
        <v>9.1067903035961604E-3</v>
      </c>
      <c r="H55" s="6">
        <v>3.0234562960088046E-3</v>
      </c>
      <c r="I55" s="6">
        <v>1.0782863522473039E-3</v>
      </c>
      <c r="J55" s="6">
        <v>1.0782863522473039E-3</v>
      </c>
      <c r="K55" s="5">
        <v>0</v>
      </c>
    </row>
    <row r="56" spans="2:11">
      <c r="B56" s="4" t="s">
        <v>94</v>
      </c>
      <c r="C56" s="6">
        <v>2.820815613437918E-2</v>
      </c>
      <c r="D56" s="6">
        <v>3.3735760698629692E-2</v>
      </c>
      <c r="E56" s="6">
        <v>6.8722157405500788E-3</v>
      </c>
      <c r="F56" s="6">
        <v>6.8722157405500788E-3</v>
      </c>
      <c r="G56" s="6">
        <v>9.1067903035961604E-3</v>
      </c>
      <c r="H56" s="6">
        <v>3.0234562960088046E-3</v>
      </c>
      <c r="I56" s="6">
        <v>1.0782863522473039E-3</v>
      </c>
      <c r="J56" s="6">
        <v>1.0782863522473039E-3</v>
      </c>
      <c r="K56" s="5">
        <v>0</v>
      </c>
    </row>
    <row r="57" spans="2:11">
      <c r="B57" s="4" t="s">
        <v>97</v>
      </c>
      <c r="C57" s="6">
        <v>1.8961669639167379E-2</v>
      </c>
      <c r="D57" s="6">
        <v>3.3735760698629692E-2</v>
      </c>
      <c r="E57" s="6">
        <v>6.8722157405500788E-3</v>
      </c>
      <c r="F57" s="6">
        <v>6.8722157405500788E-3</v>
      </c>
      <c r="G57" s="6">
        <v>9.1067903035961604E-3</v>
      </c>
      <c r="H57" s="6">
        <v>3.0234562960088046E-3</v>
      </c>
      <c r="I57" s="6">
        <v>1.0782863522473039E-3</v>
      </c>
      <c r="J57" s="6">
        <v>1.0782863522473039E-3</v>
      </c>
      <c r="K57" s="5">
        <v>0</v>
      </c>
    </row>
    <row r="58" spans="2:11">
      <c r="B58" s="4" t="s">
        <v>100</v>
      </c>
      <c r="C58" s="6">
        <v>2.820815613437918E-2</v>
      </c>
      <c r="D58" s="6">
        <v>3.3735760698629692E-2</v>
      </c>
      <c r="E58" s="6">
        <v>6.8722157405500788E-3</v>
      </c>
      <c r="F58" s="6">
        <v>6.8722157405500788E-3</v>
      </c>
      <c r="G58" s="6">
        <v>9.1067903035961604E-3</v>
      </c>
      <c r="H58" s="6">
        <v>3.0234562960088046E-3</v>
      </c>
      <c r="I58" s="6">
        <v>1.0782863522473039E-3</v>
      </c>
      <c r="J58" s="6">
        <v>1.0782863522473039E-3</v>
      </c>
      <c r="K58" s="5">
        <v>0</v>
      </c>
    </row>
    <row r="59" spans="2:11">
      <c r="B59" s="4" t="s">
        <v>103</v>
      </c>
      <c r="C59" s="6">
        <v>1.8961669639167379E-2</v>
      </c>
      <c r="D59" s="6">
        <v>3.3735760698629692E-2</v>
      </c>
      <c r="E59" s="6">
        <v>6.8722157405500788E-3</v>
      </c>
      <c r="F59" s="6">
        <v>6.8722157405500788E-3</v>
      </c>
      <c r="G59" s="6">
        <v>9.1067903035961604E-3</v>
      </c>
      <c r="H59" s="6">
        <v>3.0234562960088046E-3</v>
      </c>
      <c r="I59" s="6">
        <v>1.0782863522473039E-3</v>
      </c>
      <c r="J59" s="6">
        <v>1.0782863522473039E-3</v>
      </c>
      <c r="K59" s="5">
        <v>0</v>
      </c>
    </row>
    <row r="60" spans="2:11">
      <c r="B60" s="4" t="s">
        <v>106</v>
      </c>
      <c r="C60" s="6">
        <v>2.820815613437918E-2</v>
      </c>
      <c r="D60" s="6">
        <v>3.3735760698629692E-2</v>
      </c>
      <c r="E60" s="6">
        <v>6.8722157405500788E-3</v>
      </c>
      <c r="F60" s="6">
        <v>6.8722157405500788E-3</v>
      </c>
      <c r="G60" s="6">
        <v>9.1067903035961604E-3</v>
      </c>
      <c r="H60" s="6">
        <v>3.0234562960088046E-3</v>
      </c>
      <c r="I60" s="6">
        <v>1.0782863522473039E-3</v>
      </c>
      <c r="J60" s="6">
        <v>1.0782863522473039E-3</v>
      </c>
      <c r="K60" s="5">
        <v>0</v>
      </c>
    </row>
    <row r="61" spans="2:11">
      <c r="B61" s="4" t="s">
        <v>109</v>
      </c>
      <c r="C61" s="6">
        <v>1.8961669639167379E-2</v>
      </c>
      <c r="D61" s="6">
        <v>3.3735760698629692E-2</v>
      </c>
      <c r="E61" s="6">
        <v>6.8722157405500788E-3</v>
      </c>
      <c r="F61" s="6">
        <v>6.8722157405500788E-3</v>
      </c>
      <c r="G61" s="6">
        <v>9.1067903035961604E-3</v>
      </c>
      <c r="H61" s="6">
        <v>3.0234562960088046E-3</v>
      </c>
      <c r="I61" s="6">
        <v>1.0782863522473039E-3</v>
      </c>
      <c r="J61" s="6">
        <v>1.0782863522473039E-3</v>
      </c>
      <c r="K61" s="5">
        <v>0</v>
      </c>
    </row>
    <row r="62" spans="2:11">
      <c r="B62" s="4" t="s">
        <v>112</v>
      </c>
      <c r="C62" s="6">
        <v>2.820815613437918E-2</v>
      </c>
      <c r="D62" s="6">
        <v>3.3735760698629692E-2</v>
      </c>
      <c r="E62" s="6">
        <v>6.8722157405500788E-3</v>
      </c>
      <c r="F62" s="6">
        <v>6.8722157405500788E-3</v>
      </c>
      <c r="G62" s="6">
        <v>9.1067903035961604E-3</v>
      </c>
      <c r="H62" s="6">
        <v>3.0234562960088046E-3</v>
      </c>
      <c r="I62" s="6">
        <v>1.0782863522473039E-3</v>
      </c>
      <c r="J62" s="6">
        <v>1.0782863522473039E-3</v>
      </c>
      <c r="K62" s="5">
        <v>0</v>
      </c>
    </row>
    <row r="63" spans="2:11">
      <c r="B63" s="4" t="s">
        <v>115</v>
      </c>
      <c r="C63" s="6">
        <v>2.820815613437918E-2</v>
      </c>
      <c r="D63" s="6">
        <v>3.3735760698629692E-2</v>
      </c>
      <c r="E63" s="6">
        <v>6.8722157405500788E-3</v>
      </c>
      <c r="F63" s="6">
        <v>6.8722157405500788E-3</v>
      </c>
      <c r="G63" s="6">
        <v>9.1067903035961604E-3</v>
      </c>
      <c r="H63" s="6">
        <v>3.0234562960088046E-3</v>
      </c>
      <c r="I63" s="6">
        <v>1.0782863522473039E-3</v>
      </c>
      <c r="J63" s="6">
        <v>1.0782863522473039E-3</v>
      </c>
      <c r="K63" s="5">
        <v>0</v>
      </c>
    </row>
    <row r="64" spans="2:11">
      <c r="B64" s="4" t="s">
        <v>118</v>
      </c>
      <c r="C64" s="6">
        <v>1.8110025655375481E-2</v>
      </c>
      <c r="D64" s="6">
        <v>3.3735760698629692E-2</v>
      </c>
      <c r="E64" s="6">
        <v>6.8722157405500788E-3</v>
      </c>
      <c r="F64" s="6">
        <v>6.8722157405500788E-3</v>
      </c>
      <c r="G64" s="6">
        <v>9.1067903035961604E-3</v>
      </c>
      <c r="H64" s="6">
        <v>3.0234562960088046E-3</v>
      </c>
      <c r="I64" s="6">
        <v>1.0782863522473039E-3</v>
      </c>
      <c r="J64" s="6">
        <v>1.0782863522473039E-3</v>
      </c>
      <c r="K64" s="5">
        <v>0</v>
      </c>
    </row>
    <row r="65" spans="2:11">
      <c r="B65" s="4" t="s">
        <v>121</v>
      </c>
      <c r="C65" s="6">
        <v>1.8961669639167379E-2</v>
      </c>
      <c r="D65" s="6">
        <v>3.3735760698629692E-2</v>
      </c>
      <c r="E65" s="6">
        <v>6.8722157405500788E-3</v>
      </c>
      <c r="F65" s="6">
        <v>6.8722157405500788E-3</v>
      </c>
      <c r="G65" s="6">
        <v>9.1067903035961604E-3</v>
      </c>
      <c r="H65" s="6">
        <v>3.0234562960088046E-3</v>
      </c>
      <c r="I65" s="6">
        <v>1.0782863522473039E-3</v>
      </c>
      <c r="J65" s="6">
        <v>1.0782863522473039E-3</v>
      </c>
      <c r="K65" s="5">
        <v>0</v>
      </c>
    </row>
    <row r="66" spans="2:11">
      <c r="B66" s="4" t="s">
        <v>124</v>
      </c>
      <c r="C66" s="6">
        <v>1.8110025655375481E-2</v>
      </c>
      <c r="D66" s="6">
        <v>3.3735760698629692E-2</v>
      </c>
      <c r="E66" s="6">
        <v>6.8722157405500788E-3</v>
      </c>
      <c r="F66" s="6">
        <v>6.8722157405500788E-3</v>
      </c>
      <c r="G66" s="6">
        <v>9.1067903035961604E-3</v>
      </c>
      <c r="H66" s="6">
        <v>3.0234562960088046E-3</v>
      </c>
      <c r="I66" s="6">
        <v>1.0782863522473039E-3</v>
      </c>
      <c r="J66" s="6">
        <v>1.0782863522473039E-3</v>
      </c>
      <c r="K66" s="5">
        <v>0</v>
      </c>
    </row>
    <row r="70" spans="2:11">
      <c r="B70" s="31" t="s">
        <v>129</v>
      </c>
    </row>
    <row r="72" spans="2:11" ht="52.8">
      <c r="B72" s="3" t="s">
        <v>24</v>
      </c>
      <c r="C72" s="3" t="s">
        <v>18</v>
      </c>
      <c r="D72" s="3" t="s">
        <v>17</v>
      </c>
      <c r="E72" s="3" t="s">
        <v>23</v>
      </c>
      <c r="F72" s="3" t="s">
        <v>22</v>
      </c>
      <c r="G72" s="3" t="s">
        <v>16</v>
      </c>
      <c r="H72" s="3" t="s">
        <v>15</v>
      </c>
      <c r="I72" s="3" t="s">
        <v>14</v>
      </c>
      <c r="J72" s="3" t="s">
        <v>13</v>
      </c>
      <c r="K72" s="3" t="s">
        <v>11</v>
      </c>
    </row>
    <row r="73" spans="2:11">
      <c r="B73" s="4" t="s">
        <v>26</v>
      </c>
      <c r="C73" s="6">
        <v>0.13800000000000001</v>
      </c>
      <c r="D73" s="6">
        <v>0.13800000000000001</v>
      </c>
      <c r="E73" s="6">
        <v>0.13800000000000001</v>
      </c>
      <c r="F73" s="6">
        <v>0.13800000000000001</v>
      </c>
      <c r="G73" s="6">
        <v>0.13800000000000001</v>
      </c>
      <c r="H73" s="6">
        <v>0.13800000000000001</v>
      </c>
      <c r="I73" s="6">
        <v>0.13800000000000001</v>
      </c>
      <c r="J73" s="6">
        <v>0.13800000000000001</v>
      </c>
      <c r="K73" s="6">
        <v>0.13800000000000001</v>
      </c>
    </row>
  </sheetData>
  <mergeCells count="1">
    <mergeCell ref="B2:K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3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showGridLines="0" view="pageBreakPreview" zoomScaleNormal="100" zoomScaleSheetLayoutView="100" workbookViewId="0">
      <selection activeCell="G26" sqref="G26"/>
    </sheetView>
  </sheetViews>
  <sheetFormatPr defaultColWidth="9.109375" defaultRowHeight="13.2"/>
  <cols>
    <col min="1" max="1" width="5.44140625" style="9" customWidth="1"/>
    <col min="2" max="2" width="10.5546875" style="9" customWidth="1"/>
    <col min="3" max="4" width="14" style="9" customWidth="1"/>
    <col min="5" max="5" width="24.88671875" style="9" customWidth="1"/>
    <col min="6" max="6" width="9.109375" style="9"/>
    <col min="7" max="7" width="17.109375" style="9" customWidth="1"/>
    <col min="8" max="8" width="23.88671875" style="9" customWidth="1"/>
    <col min="9" max="9" width="22.33203125" style="9" customWidth="1"/>
    <col min="10" max="10" width="21" style="9" customWidth="1"/>
    <col min="11" max="11" width="12.109375" style="9" customWidth="1"/>
    <col min="12" max="12" width="2.5546875" style="9" customWidth="1"/>
    <col min="13" max="16384" width="9.109375" style="9"/>
  </cols>
  <sheetData>
    <row r="2" spans="2:11" ht="10.5" customHeight="1">
      <c r="B2" s="185" t="s">
        <v>126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 ht="10.5" customHeight="1"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2:11" ht="10.5" customHeight="1"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2:11">
      <c r="B5" s="28"/>
      <c r="C5" s="23"/>
      <c r="D5" s="23"/>
      <c r="E5" s="23"/>
      <c r="F5" s="23"/>
      <c r="G5" s="23"/>
      <c r="H5" s="23"/>
      <c r="I5" s="23"/>
      <c r="J5" s="23"/>
      <c r="K5" s="23"/>
    </row>
    <row r="6" spans="2:11" ht="39.6">
      <c r="B6" s="24" t="s">
        <v>125</v>
      </c>
      <c r="C6" s="24" t="s">
        <v>18</v>
      </c>
      <c r="D6" s="24" t="s">
        <v>17</v>
      </c>
      <c r="E6" s="24" t="s">
        <v>23</v>
      </c>
      <c r="F6" s="24" t="s">
        <v>22</v>
      </c>
      <c r="G6" s="24" t="s">
        <v>16</v>
      </c>
      <c r="H6" s="24" t="s">
        <v>15</v>
      </c>
      <c r="I6" s="24" t="s">
        <v>14</v>
      </c>
      <c r="J6" s="24" t="s">
        <v>13</v>
      </c>
      <c r="K6" s="24" t="s">
        <v>11</v>
      </c>
    </row>
    <row r="7" spans="2:11">
      <c r="B7" s="25">
        <v>1</v>
      </c>
      <c r="C7" s="32">
        <v>0.89080474515855002</v>
      </c>
      <c r="D7" s="32">
        <v>0.81717867406979683</v>
      </c>
      <c r="E7" s="32">
        <v>0.97308290042961676</v>
      </c>
      <c r="F7" s="32">
        <v>0.96890127553542427</v>
      </c>
      <c r="G7" s="32">
        <v>0.9716892213250039</v>
      </c>
      <c r="H7" s="32">
        <v>0.97081167311094085</v>
      </c>
      <c r="I7" s="32">
        <v>0.97044360275576835</v>
      </c>
      <c r="J7" s="32">
        <v>0.96748477708863689</v>
      </c>
      <c r="K7" s="32">
        <v>0.96748477708863689</v>
      </c>
    </row>
    <row r="8" spans="2:11">
      <c r="B8" s="25">
        <v>2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32">
        <v>1</v>
      </c>
    </row>
    <row r="9" spans="2:11">
      <c r="B9" s="25">
        <v>3</v>
      </c>
      <c r="C9" s="32">
        <v>1.1447667981372514</v>
      </c>
      <c r="D9" s="32">
        <v>1.5438867639706391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2">
        <v>4.7205827899683994</v>
      </c>
    </row>
    <row r="10" spans="2:11"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1">
    <mergeCell ref="B2:K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39"/>
  <sheetViews>
    <sheetView zoomScale="70" zoomScaleNormal="70" workbookViewId="0">
      <selection activeCell="AC7" sqref="AC7:AC9"/>
    </sheetView>
  </sheetViews>
  <sheetFormatPr defaultColWidth="9.109375" defaultRowHeight="17.399999999999999"/>
  <cols>
    <col min="1" max="2" width="9.109375" style="99"/>
    <col min="3" max="3" width="17" style="99" customWidth="1"/>
    <col min="4" max="4" width="9.109375" style="99"/>
    <col min="5" max="5" width="9.5546875" style="99" customWidth="1"/>
    <col min="6" max="25" width="9.109375" style="99"/>
    <col min="26" max="26" width="1.44140625" style="99" customWidth="1"/>
    <col min="27" max="27" width="3.5546875" style="99" customWidth="1"/>
    <col min="28" max="28" width="19.88671875" style="99" customWidth="1"/>
    <col min="29" max="29" width="15.6640625" style="99" customWidth="1"/>
    <col min="30" max="35" width="9.109375" style="99"/>
    <col min="36" max="36" width="15.33203125" style="99" customWidth="1"/>
    <col min="37" max="16384" width="9.109375" style="99"/>
  </cols>
  <sheetData>
    <row r="2" spans="2:36">
      <c r="S2" s="200" t="s">
        <v>194</v>
      </c>
      <c r="T2" s="200" t="s">
        <v>193</v>
      </c>
      <c r="U2" s="200"/>
      <c r="V2" s="200"/>
      <c r="W2" s="200"/>
      <c r="X2" s="200"/>
      <c r="Y2" s="200"/>
      <c r="Z2" s="200"/>
      <c r="AA2" s="200"/>
      <c r="AB2" s="200" t="s">
        <v>195</v>
      </c>
      <c r="AC2" s="200"/>
      <c r="AD2" s="200"/>
      <c r="AE2" s="200"/>
      <c r="AF2" s="200"/>
      <c r="AG2" s="200"/>
      <c r="AJ2" s="99">
        <f>G9*103320000</f>
        <v>16324560</v>
      </c>
    </row>
    <row r="3" spans="2:36" ht="21">
      <c r="B3" s="188" t="s">
        <v>187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S3" s="200"/>
      <c r="T3" s="200"/>
      <c r="U3" s="200"/>
      <c r="V3" s="200"/>
      <c r="W3" s="200"/>
      <c r="X3" s="200"/>
      <c r="Y3" s="200"/>
      <c r="Z3" s="200"/>
      <c r="AA3" s="200"/>
      <c r="AB3" s="193" t="s">
        <v>198</v>
      </c>
      <c r="AC3" s="194"/>
      <c r="AD3" s="193" t="s">
        <v>199</v>
      </c>
      <c r="AE3" s="201"/>
      <c r="AF3" s="201"/>
      <c r="AG3" s="194"/>
    </row>
    <row r="4" spans="2:36" ht="21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S4" s="200"/>
      <c r="T4" s="200"/>
      <c r="U4" s="200"/>
      <c r="V4" s="200"/>
      <c r="W4" s="200"/>
      <c r="X4" s="200"/>
      <c r="Y4" s="200"/>
      <c r="Z4" s="200"/>
      <c r="AA4" s="200"/>
      <c r="AB4" s="197"/>
      <c r="AC4" s="198"/>
      <c r="AD4" s="197"/>
      <c r="AE4" s="202"/>
      <c r="AF4" s="202"/>
      <c r="AG4" s="198"/>
    </row>
    <row r="5" spans="2:36" ht="21">
      <c r="B5" s="104"/>
      <c r="C5" s="104"/>
      <c r="D5" s="104"/>
      <c r="E5" s="188" t="s">
        <v>198</v>
      </c>
      <c r="F5" s="188"/>
      <c r="G5" s="188"/>
      <c r="H5" s="188"/>
      <c r="I5" s="188"/>
      <c r="J5" s="188" t="s">
        <v>199</v>
      </c>
      <c r="K5" s="188"/>
      <c r="L5" s="188"/>
      <c r="M5" s="188"/>
      <c r="N5" s="188"/>
      <c r="O5" s="104"/>
      <c r="S5" s="200"/>
      <c r="T5" s="200"/>
      <c r="U5" s="200"/>
      <c r="V5" s="200"/>
      <c r="W5" s="200"/>
      <c r="X5" s="200"/>
      <c r="Y5" s="200"/>
      <c r="Z5" s="200"/>
      <c r="AA5" s="200"/>
      <c r="AB5" s="108"/>
      <c r="AC5" s="109"/>
      <c r="AD5" s="108"/>
      <c r="AE5" s="110"/>
      <c r="AF5" s="110"/>
      <c r="AG5" s="109"/>
    </row>
    <row r="6" spans="2:36">
      <c r="S6" s="200"/>
      <c r="T6" s="200"/>
      <c r="U6" s="200"/>
      <c r="V6" s="200"/>
      <c r="W6" s="200"/>
      <c r="X6" s="200"/>
      <c r="Y6" s="200"/>
      <c r="Z6" s="200"/>
      <c r="AA6" s="200"/>
      <c r="AB6" s="103" t="s">
        <v>196</v>
      </c>
      <c r="AC6" s="103" t="s">
        <v>197</v>
      </c>
      <c r="AD6" s="200" t="s">
        <v>196</v>
      </c>
      <c r="AE6" s="200"/>
      <c r="AF6" s="200" t="s">
        <v>197</v>
      </c>
      <c r="AG6" s="200"/>
    </row>
    <row r="7" spans="2:36" ht="21">
      <c r="B7" s="190" t="s">
        <v>220</v>
      </c>
      <c r="C7" s="190"/>
      <c r="D7" s="105" t="s">
        <v>188</v>
      </c>
      <c r="E7" s="190">
        <f>G9</f>
        <v>0.158</v>
      </c>
      <c r="F7" s="190"/>
      <c r="G7" s="190"/>
      <c r="H7" s="101"/>
      <c r="J7" s="190">
        <f>0.158</f>
        <v>0.158</v>
      </c>
      <c r="K7" s="190"/>
      <c r="L7" s="190"/>
      <c r="M7" s="190"/>
      <c r="S7" s="206">
        <v>1</v>
      </c>
      <c r="T7" s="193" t="s">
        <v>190</v>
      </c>
      <c r="U7" s="201"/>
      <c r="V7" s="201"/>
      <c r="W7" s="201"/>
      <c r="X7" s="201"/>
      <c r="Y7" s="201"/>
      <c r="Z7" s="201"/>
      <c r="AA7" s="194"/>
      <c r="AB7" s="206">
        <f>118450-5000</f>
        <v>113450</v>
      </c>
      <c r="AC7" s="206">
        <f>4550+1000</f>
        <v>5550</v>
      </c>
      <c r="AD7" s="193">
        <f>2630+13000</f>
        <v>15630</v>
      </c>
      <c r="AE7" s="194"/>
      <c r="AF7" s="193">
        <f>70+5000</f>
        <v>5070</v>
      </c>
      <c r="AG7" s="194"/>
    </row>
    <row r="8" spans="2:36" ht="21">
      <c r="B8" s="100"/>
      <c r="C8" s="100"/>
      <c r="D8" s="100"/>
      <c r="E8" s="192" t="s">
        <v>217</v>
      </c>
      <c r="F8" s="192"/>
      <c r="G8" s="192" t="s">
        <v>218</v>
      </c>
      <c r="H8" s="192"/>
      <c r="J8" s="192" t="s">
        <v>217</v>
      </c>
      <c r="K8" s="192"/>
      <c r="L8" s="192" t="s">
        <v>218</v>
      </c>
      <c r="M8" s="192"/>
      <c r="S8" s="207"/>
      <c r="T8" s="195"/>
      <c r="U8" s="209"/>
      <c r="V8" s="209"/>
      <c r="W8" s="209"/>
      <c r="X8" s="209"/>
      <c r="Y8" s="209"/>
      <c r="Z8" s="209"/>
      <c r="AA8" s="196"/>
      <c r="AB8" s="207"/>
      <c r="AC8" s="207"/>
      <c r="AD8" s="195"/>
      <c r="AE8" s="196"/>
      <c r="AF8" s="195"/>
      <c r="AG8" s="196"/>
    </row>
    <row r="9" spans="2:36">
      <c r="B9" s="192" t="s">
        <v>216</v>
      </c>
      <c r="C9" s="192"/>
      <c r="D9" s="192" t="s">
        <v>188</v>
      </c>
      <c r="E9" s="189">
        <f>E15/205000000</f>
        <v>0.47042557471548779</v>
      </c>
      <c r="F9" s="189"/>
      <c r="G9" s="192">
        <v>0.158</v>
      </c>
      <c r="H9" s="192"/>
      <c r="J9" s="189">
        <f>J15/205000000</f>
        <v>0.3899000613242683</v>
      </c>
      <c r="K9" s="189"/>
      <c r="L9" s="192">
        <f>G9</f>
        <v>0.158</v>
      </c>
      <c r="M9" s="192"/>
      <c r="S9" s="208"/>
      <c r="T9" s="197"/>
      <c r="U9" s="202"/>
      <c r="V9" s="202"/>
      <c r="W9" s="202"/>
      <c r="X9" s="202"/>
      <c r="Y9" s="202"/>
      <c r="Z9" s="202"/>
      <c r="AA9" s="198"/>
      <c r="AB9" s="208"/>
      <c r="AC9" s="208"/>
      <c r="AD9" s="197"/>
      <c r="AE9" s="198"/>
      <c r="AF9" s="197"/>
      <c r="AG9" s="198"/>
    </row>
    <row r="10" spans="2:36">
      <c r="B10" s="192" t="s">
        <v>219</v>
      </c>
      <c r="C10" s="192"/>
      <c r="D10" s="192"/>
      <c r="E10" s="189"/>
      <c r="F10" s="189"/>
      <c r="G10" s="192"/>
      <c r="H10" s="192"/>
      <c r="J10" s="189"/>
      <c r="K10" s="189"/>
      <c r="L10" s="192"/>
      <c r="M10" s="192"/>
      <c r="S10" s="206">
        <v>2</v>
      </c>
      <c r="T10" s="193" t="s">
        <v>191</v>
      </c>
      <c r="U10" s="201"/>
      <c r="V10" s="201"/>
      <c r="W10" s="201"/>
      <c r="X10" s="201"/>
      <c r="Y10" s="201"/>
      <c r="Z10" s="201"/>
      <c r="AA10" s="194"/>
      <c r="AB10" s="206">
        <v>100</v>
      </c>
      <c r="AC10" s="206"/>
      <c r="AD10" s="193">
        <v>100</v>
      </c>
      <c r="AE10" s="194"/>
      <c r="AF10" s="193"/>
      <c r="AG10" s="194"/>
    </row>
    <row r="11" spans="2:36">
      <c r="B11" s="100"/>
      <c r="C11" s="100"/>
      <c r="D11" s="100"/>
      <c r="S11" s="208"/>
      <c r="T11" s="197"/>
      <c r="U11" s="202"/>
      <c r="V11" s="202"/>
      <c r="W11" s="202"/>
      <c r="X11" s="202"/>
      <c r="Y11" s="202"/>
      <c r="Z11" s="202"/>
      <c r="AA11" s="198"/>
      <c r="AB11" s="208"/>
      <c r="AC11" s="208"/>
      <c r="AD11" s="197"/>
      <c r="AE11" s="198"/>
      <c r="AF11" s="197"/>
      <c r="AG11" s="198"/>
    </row>
    <row r="12" spans="2:36" ht="21">
      <c r="B12" s="190" t="s">
        <v>221</v>
      </c>
      <c r="C12" s="190"/>
      <c r="D12" s="105" t="s">
        <v>188</v>
      </c>
      <c r="E12" s="191">
        <f>(E15-AJ2)/101680000</f>
        <v>0.78789027160380598</v>
      </c>
      <c r="F12" s="191"/>
      <c r="G12" s="191"/>
      <c r="J12" s="191">
        <f>(J15-AJ2)/101680000</f>
        <v>0.62554044621828286</v>
      </c>
      <c r="K12" s="191"/>
      <c r="L12" s="191"/>
      <c r="M12" s="191"/>
      <c r="S12" s="103">
        <v>3</v>
      </c>
      <c r="T12" s="199" t="s">
        <v>22</v>
      </c>
      <c r="U12" s="199"/>
      <c r="V12" s="199"/>
      <c r="W12" s="199"/>
      <c r="X12" s="199"/>
      <c r="Y12" s="199"/>
      <c r="Z12" s="199"/>
      <c r="AA12" s="199"/>
      <c r="AB12" s="102">
        <v>137</v>
      </c>
      <c r="AC12" s="102"/>
      <c r="AD12" s="203">
        <v>137</v>
      </c>
      <c r="AE12" s="204"/>
      <c r="AF12" s="203"/>
      <c r="AG12" s="204"/>
    </row>
    <row r="13" spans="2:36">
      <c r="S13" s="103">
        <v>4</v>
      </c>
      <c r="T13" s="199" t="s">
        <v>192</v>
      </c>
      <c r="U13" s="199"/>
      <c r="V13" s="199"/>
      <c r="W13" s="199"/>
      <c r="X13" s="199"/>
      <c r="Y13" s="199"/>
      <c r="Z13" s="199"/>
      <c r="AA13" s="199"/>
      <c r="AB13" s="102">
        <v>200</v>
      </c>
      <c r="AC13" s="102"/>
      <c r="AD13" s="203">
        <v>200</v>
      </c>
      <c r="AE13" s="204"/>
      <c r="AF13" s="203"/>
      <c r="AG13" s="204"/>
    </row>
    <row r="14" spans="2:36">
      <c r="T14" s="192"/>
      <c r="U14" s="192"/>
      <c r="V14" s="192"/>
      <c r="W14" s="192"/>
      <c r="X14" s="192"/>
    </row>
    <row r="15" spans="2:36" ht="19.2">
      <c r="B15" s="190" t="s">
        <v>215</v>
      </c>
      <c r="C15" s="190"/>
      <c r="D15" s="105" t="s">
        <v>188</v>
      </c>
      <c r="E15" s="187">
        <f>(E36*0.7)+(E18*0.3)</f>
        <v>96437242.816674992</v>
      </c>
      <c r="F15" s="187"/>
      <c r="G15" s="187"/>
      <c r="H15" s="106"/>
      <c r="I15" s="106"/>
      <c r="J15" s="187">
        <f>(E36*0.7)+(J18*0.3)</f>
        <v>79929512.571474999</v>
      </c>
      <c r="K15" s="187"/>
      <c r="L15" s="187"/>
      <c r="M15" s="187"/>
    </row>
    <row r="16" spans="2:36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2:32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S17" s="192" t="s">
        <v>200</v>
      </c>
      <c r="T17" s="192"/>
      <c r="U17" s="192"/>
      <c r="V17" s="192"/>
      <c r="W17" s="192"/>
      <c r="X17" s="192"/>
      <c r="Y17" s="192"/>
      <c r="Z17" s="192"/>
      <c r="AA17" s="192"/>
      <c r="AB17" s="192"/>
      <c r="AC17" s="101"/>
      <c r="AD17" s="101"/>
      <c r="AE17" s="101"/>
      <c r="AF17" s="101"/>
    </row>
    <row r="18" spans="2:32">
      <c r="B18" s="190" t="s">
        <v>189</v>
      </c>
      <c r="C18" s="190"/>
      <c r="D18" s="105" t="s">
        <v>188</v>
      </c>
      <c r="E18" s="191">
        <f>(U21*0.89*AB7*1.06)+(U21*1*AC7*1.06)+(W21*0.82*AB10*1.06)+(Y21*0.97*AB12*1.06)+(AB21*0.97*AB13*1.06)+E21+E23+E25+E28</f>
        <v>116124142.72225</v>
      </c>
      <c r="F18" s="191"/>
      <c r="G18" s="191"/>
      <c r="H18" s="107"/>
      <c r="I18" s="107"/>
      <c r="J18" s="187">
        <f>(U21*0.89*AD7*1.06)+(U21*1*AF7*1.06)+(W21*0.82*AD10*1.06)+(Y21*0.97*AD12*1.06)+(AB21*0.97*AD13*1.06)+E21+E23+E25+E28</f>
        <v>61098375.238249995</v>
      </c>
      <c r="K18" s="187"/>
      <c r="L18" s="187"/>
      <c r="M18" s="187"/>
    </row>
    <row r="19" spans="2:32">
      <c r="S19" s="200" t="s">
        <v>201</v>
      </c>
      <c r="T19" s="200"/>
      <c r="U19" s="200" t="s">
        <v>202</v>
      </c>
      <c r="V19" s="200"/>
      <c r="W19" s="200" t="s">
        <v>202</v>
      </c>
      <c r="X19" s="200"/>
      <c r="Y19" s="200" t="s">
        <v>22</v>
      </c>
      <c r="Z19" s="200"/>
      <c r="AA19" s="200"/>
      <c r="AB19" s="200" t="s">
        <v>143</v>
      </c>
    </row>
    <row r="20" spans="2:32">
      <c r="S20" s="200"/>
      <c r="T20" s="200"/>
      <c r="U20" s="200" t="s">
        <v>203</v>
      </c>
      <c r="V20" s="200"/>
      <c r="W20" s="200" t="s">
        <v>204</v>
      </c>
      <c r="X20" s="200"/>
      <c r="Y20" s="200"/>
      <c r="Z20" s="200"/>
      <c r="AA20" s="200"/>
      <c r="AB20" s="200"/>
    </row>
    <row r="21" spans="2:32" ht="19.8">
      <c r="B21" s="192" t="s">
        <v>206</v>
      </c>
      <c r="C21" s="192"/>
      <c r="D21" s="100" t="s">
        <v>188</v>
      </c>
      <c r="E21" s="205">
        <f>0.00725*556500000</f>
        <v>4034625</v>
      </c>
      <c r="F21" s="205"/>
      <c r="G21" s="205"/>
      <c r="J21" s="205">
        <f>E21</f>
        <v>4034625</v>
      </c>
      <c r="K21" s="192"/>
      <c r="L21" s="192"/>
      <c r="M21" s="192"/>
      <c r="S21" s="200" t="s">
        <v>205</v>
      </c>
      <c r="T21" s="200"/>
      <c r="U21" s="200">
        <v>593</v>
      </c>
      <c r="V21" s="200"/>
      <c r="W21" s="200">
        <v>701</v>
      </c>
      <c r="X21" s="200"/>
      <c r="Y21" s="200">
        <v>10816</v>
      </c>
      <c r="Z21" s="200"/>
      <c r="AA21" s="200"/>
      <c r="AB21" s="102">
        <v>15249</v>
      </c>
    </row>
    <row r="23" spans="2:32" ht="19.8">
      <c r="B23" s="192" t="s">
        <v>207</v>
      </c>
      <c r="C23" s="192"/>
      <c r="D23" s="100" t="s">
        <v>188</v>
      </c>
      <c r="E23" s="205">
        <f>556500000*0.015</f>
        <v>8347500</v>
      </c>
      <c r="F23" s="205"/>
      <c r="G23" s="205"/>
      <c r="J23" s="205">
        <f>E23</f>
        <v>8347500</v>
      </c>
      <c r="K23" s="192"/>
      <c r="L23" s="192"/>
      <c r="M23" s="192"/>
    </row>
    <row r="25" spans="2:32" ht="30" customHeight="1">
      <c r="B25" s="192" t="s">
        <v>208</v>
      </c>
      <c r="C25" s="192"/>
      <c r="D25" s="100" t="s">
        <v>188</v>
      </c>
      <c r="E25" s="205">
        <v>28000000</v>
      </c>
      <c r="F25" s="205"/>
      <c r="G25" s="205"/>
      <c r="J25" s="205">
        <f>E25</f>
        <v>28000000</v>
      </c>
      <c r="K25" s="192"/>
      <c r="L25" s="192"/>
      <c r="M25" s="192"/>
    </row>
    <row r="28" spans="2:32">
      <c r="B28" s="192" t="s">
        <v>209</v>
      </c>
      <c r="C28" s="192"/>
      <c r="D28" s="100" t="s">
        <v>188</v>
      </c>
      <c r="E28" s="205">
        <f>0.015*(494125632-222527394-595036.81)</f>
        <v>4065048.0178499999</v>
      </c>
      <c r="F28" s="205"/>
      <c r="G28" s="205"/>
      <c r="J28" s="205">
        <f>E28</f>
        <v>4065048.0178499999</v>
      </c>
      <c r="K28" s="192"/>
      <c r="L28" s="192"/>
      <c r="M28" s="192"/>
    </row>
    <row r="30" spans="2:32" ht="21">
      <c r="B30" s="192" t="s">
        <v>210</v>
      </c>
      <c r="C30" s="192"/>
      <c r="D30" s="100" t="s">
        <v>188</v>
      </c>
    </row>
    <row r="33" spans="2:13" ht="21">
      <c r="B33" s="192" t="s">
        <v>211</v>
      </c>
      <c r="C33" s="192"/>
      <c r="D33" s="100" t="s">
        <v>188</v>
      </c>
    </row>
    <row r="36" spans="2:13" ht="19.8">
      <c r="B36" s="192" t="s">
        <v>212</v>
      </c>
      <c r="C36" s="192"/>
      <c r="D36" s="100" t="s">
        <v>188</v>
      </c>
      <c r="E36" s="205">
        <f>60000000+28000000</f>
        <v>88000000</v>
      </c>
      <c r="F36" s="205"/>
      <c r="G36" s="205"/>
      <c r="J36" s="205">
        <f>E36</f>
        <v>88000000</v>
      </c>
      <c r="K36" s="192"/>
      <c r="L36" s="192"/>
      <c r="M36" s="192"/>
    </row>
    <row r="38" spans="2:13">
      <c r="B38" s="192" t="s">
        <v>213</v>
      </c>
      <c r="C38" s="192"/>
      <c r="D38" s="192" t="s">
        <v>188</v>
      </c>
      <c r="E38" s="210">
        <f>(E36-E18)/E18</f>
        <v>-0.24219031514849035</v>
      </c>
      <c r="F38" s="210"/>
      <c r="G38" s="210"/>
      <c r="J38" s="189">
        <f>(J36-J18)/J18</f>
        <v>0.44030016603303268</v>
      </c>
      <c r="K38" s="189"/>
      <c r="L38" s="189"/>
    </row>
    <row r="39" spans="2:13">
      <c r="B39" s="192" t="s">
        <v>214</v>
      </c>
      <c r="C39" s="192"/>
      <c r="D39" s="192"/>
      <c r="E39" s="210"/>
      <c r="F39" s="210"/>
      <c r="G39" s="210"/>
      <c r="J39" s="189"/>
      <c r="K39" s="189"/>
      <c r="L39" s="189"/>
    </row>
  </sheetData>
  <mergeCells count="86">
    <mergeCell ref="S10:S11"/>
    <mergeCell ref="T10:AA11"/>
    <mergeCell ref="AB10:AB11"/>
    <mergeCell ref="AC10:AC11"/>
    <mergeCell ref="AD10:AE11"/>
    <mergeCell ref="J21:M21"/>
    <mergeCell ref="J23:M23"/>
    <mergeCell ref="J25:M25"/>
    <mergeCell ref="J28:M28"/>
    <mergeCell ref="B39:C39"/>
    <mergeCell ref="B33:C33"/>
    <mergeCell ref="B38:C38"/>
    <mergeCell ref="D38:D39"/>
    <mergeCell ref="E38:G39"/>
    <mergeCell ref="J38:L39"/>
    <mergeCell ref="J36:M36"/>
    <mergeCell ref="E23:G23"/>
    <mergeCell ref="S19:T20"/>
    <mergeCell ref="AB3:AC4"/>
    <mergeCell ref="S21:T21"/>
    <mergeCell ref="U21:V21"/>
    <mergeCell ref="W21:X21"/>
    <mergeCell ref="Y21:AA21"/>
    <mergeCell ref="AB19:AB20"/>
    <mergeCell ref="S7:S9"/>
    <mergeCell ref="S2:S6"/>
    <mergeCell ref="T2:AA6"/>
    <mergeCell ref="T7:AA9"/>
    <mergeCell ref="AB7:AB9"/>
    <mergeCell ref="AC7:AC9"/>
    <mergeCell ref="S17:AB17"/>
    <mergeCell ref="AB2:AG2"/>
    <mergeCell ref="T14:X14"/>
    <mergeCell ref="U20:V20"/>
    <mergeCell ref="W19:X19"/>
    <mergeCell ref="W20:X20"/>
    <mergeCell ref="Y19:AA20"/>
    <mergeCell ref="U19:V19"/>
    <mergeCell ref="B15:C15"/>
    <mergeCell ref="B18:C18"/>
    <mergeCell ref="D9:D10"/>
    <mergeCell ref="E9:F10"/>
    <mergeCell ref="B36:C36"/>
    <mergeCell ref="E36:G36"/>
    <mergeCell ref="B9:C9"/>
    <mergeCell ref="B30:C30"/>
    <mergeCell ref="B21:C21"/>
    <mergeCell ref="B28:C28"/>
    <mergeCell ref="E28:G28"/>
    <mergeCell ref="E18:G18"/>
    <mergeCell ref="B23:C23"/>
    <mergeCell ref="B25:C25"/>
    <mergeCell ref="E25:G25"/>
    <mergeCell ref="E21:G21"/>
    <mergeCell ref="AD7:AE9"/>
    <mergeCell ref="T12:AA12"/>
    <mergeCell ref="T13:AA13"/>
    <mergeCell ref="AD6:AE6"/>
    <mergeCell ref="AD3:AG4"/>
    <mergeCell ref="AF7:AG9"/>
    <mergeCell ref="AF6:AG6"/>
    <mergeCell ref="AF10:AG11"/>
    <mergeCell ref="AF12:AG12"/>
    <mergeCell ref="AF13:AG13"/>
    <mergeCell ref="AD12:AE12"/>
    <mergeCell ref="AD13:AE13"/>
    <mergeCell ref="B3:O3"/>
    <mergeCell ref="B7:C7"/>
    <mergeCell ref="B12:C12"/>
    <mergeCell ref="E7:G7"/>
    <mergeCell ref="E12:G12"/>
    <mergeCell ref="B10:C10"/>
    <mergeCell ref="E8:F8"/>
    <mergeCell ref="G8:H8"/>
    <mergeCell ref="G9:H10"/>
    <mergeCell ref="L9:M10"/>
    <mergeCell ref="J8:K8"/>
    <mergeCell ref="L8:M8"/>
    <mergeCell ref="J7:M7"/>
    <mergeCell ref="J12:M12"/>
    <mergeCell ref="J18:M18"/>
    <mergeCell ref="J15:M15"/>
    <mergeCell ref="E5:I5"/>
    <mergeCell ref="J5:N5"/>
    <mergeCell ref="J9:K10"/>
    <mergeCell ref="E15:G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7"/>
  <sheetViews>
    <sheetView zoomScale="70" zoomScaleNormal="70" workbookViewId="0">
      <selection activeCell="AA23" sqref="AA23"/>
    </sheetView>
  </sheetViews>
  <sheetFormatPr defaultColWidth="9.109375" defaultRowHeight="17.399999999999999"/>
  <cols>
    <col min="1" max="2" width="9.109375" style="99"/>
    <col min="3" max="3" width="17" style="99" customWidth="1"/>
    <col min="4" max="4" width="9.109375" style="99"/>
    <col min="5" max="5" width="9.5546875" style="99" customWidth="1"/>
    <col min="6" max="25" width="9.109375" style="99"/>
    <col min="26" max="26" width="1.44140625" style="99" customWidth="1"/>
    <col min="27" max="27" width="3.5546875" style="99" customWidth="1"/>
    <col min="28" max="28" width="19.88671875" style="99" customWidth="1"/>
    <col min="29" max="32" width="9.109375" style="99"/>
    <col min="33" max="33" width="15.33203125" style="99" customWidth="1"/>
    <col min="34" max="16384" width="9.109375" style="99"/>
  </cols>
  <sheetData>
    <row r="2" spans="2:33">
      <c r="S2" s="200" t="s">
        <v>194</v>
      </c>
      <c r="T2" s="200" t="s">
        <v>193</v>
      </c>
      <c r="U2" s="200"/>
      <c r="V2" s="200"/>
      <c r="W2" s="200"/>
      <c r="X2" s="200"/>
      <c r="Y2" s="200"/>
      <c r="Z2" s="200"/>
      <c r="AA2" s="200"/>
      <c r="AB2" s="200" t="s">
        <v>195</v>
      </c>
      <c r="AC2" s="200"/>
      <c r="AD2" s="200"/>
      <c r="AG2" s="99">
        <f>G9*133920000</f>
        <v>46738080</v>
      </c>
    </row>
    <row r="3" spans="2:33" ht="21">
      <c r="B3" s="188" t="s">
        <v>222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S3" s="200"/>
      <c r="T3" s="200"/>
      <c r="U3" s="200"/>
      <c r="V3" s="200"/>
      <c r="W3" s="200"/>
      <c r="X3" s="200"/>
      <c r="Y3" s="200"/>
      <c r="Z3" s="200"/>
      <c r="AA3" s="200"/>
      <c r="AB3" s="193" t="s">
        <v>198</v>
      </c>
      <c r="AC3" s="193" t="s">
        <v>199</v>
      </c>
      <c r="AD3" s="194"/>
    </row>
    <row r="4" spans="2:33" ht="21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S4" s="200"/>
      <c r="T4" s="200"/>
      <c r="U4" s="200"/>
      <c r="V4" s="200"/>
      <c r="W4" s="200"/>
      <c r="X4" s="200"/>
      <c r="Y4" s="200"/>
      <c r="Z4" s="200"/>
      <c r="AA4" s="200"/>
      <c r="AB4" s="197"/>
      <c r="AC4" s="197"/>
      <c r="AD4" s="198"/>
    </row>
    <row r="5" spans="2:33" ht="21">
      <c r="B5" s="104"/>
      <c r="C5" s="104"/>
      <c r="D5" s="104"/>
      <c r="E5" s="188" t="s">
        <v>198</v>
      </c>
      <c r="F5" s="188"/>
      <c r="G5" s="188"/>
      <c r="H5" s="188"/>
      <c r="I5" s="188"/>
      <c r="J5" s="188" t="s">
        <v>199</v>
      </c>
      <c r="K5" s="188"/>
      <c r="L5" s="188"/>
      <c r="M5" s="188"/>
      <c r="N5" s="188"/>
      <c r="O5" s="104"/>
      <c r="S5" s="200"/>
      <c r="T5" s="200"/>
      <c r="U5" s="200"/>
      <c r="V5" s="200"/>
      <c r="W5" s="200"/>
      <c r="X5" s="200"/>
      <c r="Y5" s="200"/>
      <c r="Z5" s="200"/>
      <c r="AA5" s="200"/>
      <c r="AB5" s="108"/>
      <c r="AC5" s="203"/>
      <c r="AD5" s="204"/>
    </row>
    <row r="6" spans="2:33">
      <c r="S6" s="200"/>
      <c r="T6" s="200"/>
      <c r="U6" s="200"/>
      <c r="V6" s="200"/>
      <c r="W6" s="200"/>
      <c r="X6" s="200"/>
      <c r="Y6" s="200"/>
      <c r="Z6" s="200"/>
      <c r="AA6" s="200"/>
      <c r="AB6" s="203" t="s">
        <v>223</v>
      </c>
      <c r="AC6" s="211"/>
      <c r="AD6" s="204"/>
    </row>
    <row r="7" spans="2:33" ht="21">
      <c r="B7" s="190" t="s">
        <v>224</v>
      </c>
      <c r="C7" s="190"/>
      <c r="D7" s="105" t="s">
        <v>188</v>
      </c>
      <c r="E7" s="190">
        <v>0.34899999999999998</v>
      </c>
      <c r="F7" s="190"/>
      <c r="G7" s="190"/>
      <c r="H7" s="101"/>
      <c r="J7" s="190">
        <v>0.3</v>
      </c>
      <c r="K7" s="190"/>
      <c r="L7" s="190"/>
      <c r="M7" s="190"/>
      <c r="S7" s="206">
        <v>1</v>
      </c>
      <c r="T7" s="193" t="s">
        <v>133</v>
      </c>
      <c r="U7" s="201"/>
      <c r="V7" s="201"/>
      <c r="W7" s="201"/>
      <c r="X7" s="201"/>
      <c r="Y7" s="201"/>
      <c r="Z7" s="201"/>
      <c r="AA7" s="194"/>
      <c r="AB7" s="206">
        <f>9624+1093</f>
        <v>10717</v>
      </c>
      <c r="AC7" s="193">
        <f>5071+1056</f>
        <v>6127</v>
      </c>
      <c r="AD7" s="194"/>
    </row>
    <row r="8" spans="2:33" ht="21">
      <c r="B8" s="100"/>
      <c r="C8" s="100"/>
      <c r="D8" s="100"/>
      <c r="E8" s="192" t="s">
        <v>232</v>
      </c>
      <c r="F8" s="192"/>
      <c r="G8" s="192" t="s">
        <v>218</v>
      </c>
      <c r="H8" s="192"/>
      <c r="J8" s="192" t="s">
        <v>217</v>
      </c>
      <c r="K8" s="192"/>
      <c r="L8" s="192" t="s">
        <v>218</v>
      </c>
      <c r="M8" s="192"/>
      <c r="S8" s="207"/>
      <c r="T8" s="195"/>
      <c r="U8" s="209"/>
      <c r="V8" s="209"/>
      <c r="W8" s="209"/>
      <c r="X8" s="209"/>
      <c r="Y8" s="209"/>
      <c r="Z8" s="209"/>
      <c r="AA8" s="196"/>
      <c r="AB8" s="207"/>
      <c r="AC8" s="195"/>
      <c r="AD8" s="196"/>
    </row>
    <row r="9" spans="2:33">
      <c r="B9" s="192" t="s">
        <v>216</v>
      </c>
      <c r="C9" s="192"/>
      <c r="D9" s="192" t="s">
        <v>188</v>
      </c>
      <c r="E9" s="189">
        <f>E15/267840000</f>
        <v>0.38111401481481483</v>
      </c>
      <c r="F9" s="189"/>
      <c r="G9" s="192">
        <v>0.34899999999999998</v>
      </c>
      <c r="H9" s="192"/>
      <c r="J9" s="189">
        <f>J15/267840000</f>
        <v>0.29796106093189967</v>
      </c>
      <c r="K9" s="189"/>
      <c r="L9" s="192">
        <f>G9</f>
        <v>0.34899999999999998</v>
      </c>
      <c r="M9" s="192"/>
      <c r="S9" s="208"/>
      <c r="T9" s="197"/>
      <c r="U9" s="202"/>
      <c r="V9" s="202"/>
      <c r="W9" s="202"/>
      <c r="X9" s="202"/>
      <c r="Y9" s="202"/>
      <c r="Z9" s="202"/>
      <c r="AA9" s="198"/>
      <c r="AB9" s="208"/>
      <c r="AC9" s="197"/>
      <c r="AD9" s="198"/>
    </row>
    <row r="10" spans="2:33">
      <c r="B10" s="192" t="s">
        <v>219</v>
      </c>
      <c r="C10" s="192"/>
      <c r="D10" s="192"/>
      <c r="E10" s="189"/>
      <c r="F10" s="189"/>
      <c r="G10" s="192"/>
      <c r="H10" s="192"/>
      <c r="J10" s="189"/>
      <c r="K10" s="189"/>
      <c r="L10" s="192"/>
      <c r="M10" s="192"/>
      <c r="S10" s="206"/>
      <c r="T10" s="193"/>
      <c r="U10" s="201"/>
      <c r="V10" s="201"/>
      <c r="W10" s="201"/>
      <c r="X10" s="201"/>
      <c r="Y10" s="201"/>
      <c r="Z10" s="201"/>
      <c r="AA10" s="194"/>
      <c r="AB10" s="206"/>
      <c r="AC10" s="193"/>
      <c r="AD10" s="194"/>
    </row>
    <row r="11" spans="2:33">
      <c r="B11" s="100"/>
      <c r="C11" s="100"/>
      <c r="D11" s="100"/>
      <c r="S11" s="208"/>
      <c r="T11" s="197"/>
      <c r="U11" s="202"/>
      <c r="V11" s="202"/>
      <c r="W11" s="202"/>
      <c r="X11" s="202"/>
      <c r="Y11" s="202"/>
      <c r="Z11" s="202"/>
      <c r="AA11" s="198"/>
      <c r="AB11" s="208"/>
      <c r="AC11" s="197"/>
      <c r="AD11" s="198"/>
    </row>
    <row r="12" spans="2:33" ht="21">
      <c r="B12" s="190" t="s">
        <v>225</v>
      </c>
      <c r="C12" s="190"/>
      <c r="D12" s="105" t="s">
        <v>188</v>
      </c>
      <c r="E12" s="191">
        <f>(E15-AG2)/133920000</f>
        <v>0.41322802962962962</v>
      </c>
      <c r="F12" s="191"/>
      <c r="G12" s="191"/>
      <c r="J12" s="191">
        <f>(J15-AG2)/133920000</f>
        <v>0.2469221218637993</v>
      </c>
      <c r="K12" s="191"/>
      <c r="L12" s="191"/>
      <c r="M12" s="191"/>
      <c r="S12" s="103"/>
      <c r="T12" s="199"/>
      <c r="U12" s="199"/>
      <c r="V12" s="199"/>
      <c r="W12" s="199"/>
      <c r="X12" s="199"/>
      <c r="Y12" s="199"/>
      <c r="Z12" s="199"/>
      <c r="AA12" s="199"/>
      <c r="AB12" s="102"/>
      <c r="AC12" s="203"/>
      <c r="AD12" s="204"/>
    </row>
    <row r="13" spans="2:33">
      <c r="S13" s="103"/>
      <c r="T13" s="199"/>
      <c r="U13" s="199"/>
      <c r="V13" s="199"/>
      <c r="W13" s="199"/>
      <c r="X13" s="199"/>
      <c r="Y13" s="199"/>
      <c r="Z13" s="199"/>
      <c r="AA13" s="199"/>
      <c r="AB13" s="102"/>
      <c r="AC13" s="203"/>
      <c r="AD13" s="204"/>
    </row>
    <row r="14" spans="2:33">
      <c r="T14" s="192"/>
      <c r="U14" s="192"/>
      <c r="V14" s="192"/>
      <c r="W14" s="192"/>
      <c r="X14" s="192"/>
    </row>
    <row r="15" spans="2:33">
      <c r="B15" s="190" t="s">
        <v>226</v>
      </c>
      <c r="C15" s="190"/>
      <c r="D15" s="105" t="s">
        <v>188</v>
      </c>
      <c r="E15" s="187">
        <f>(E34*0.7)+(E18*0.3)</f>
        <v>102077577.728</v>
      </c>
      <c r="F15" s="187"/>
      <c r="G15" s="187"/>
      <c r="H15" s="106"/>
      <c r="I15" s="106"/>
      <c r="J15" s="187">
        <f>J18</f>
        <v>79805890.560000002</v>
      </c>
      <c r="K15" s="187"/>
      <c r="L15" s="187"/>
      <c r="M15" s="187"/>
    </row>
    <row r="16" spans="2:33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2:30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S17" s="192" t="s">
        <v>200</v>
      </c>
      <c r="T17" s="192"/>
      <c r="U17" s="192"/>
      <c r="V17" s="192"/>
      <c r="W17" s="192"/>
      <c r="X17" s="192"/>
      <c r="Y17" s="192"/>
      <c r="Z17" s="192"/>
      <c r="AA17" s="192"/>
      <c r="AB17" s="192"/>
      <c r="AC17" s="101"/>
      <c r="AD17" s="101"/>
    </row>
    <row r="18" spans="2:30">
      <c r="B18" s="190" t="s">
        <v>227</v>
      </c>
      <c r="C18" s="190"/>
      <c r="D18" s="105" t="s">
        <v>188</v>
      </c>
      <c r="E18" s="191">
        <f>(U21*1*AB7*1.06)</f>
        <v>139591925.76000002</v>
      </c>
      <c r="F18" s="191"/>
      <c r="G18" s="191"/>
      <c r="H18" s="107"/>
      <c r="I18" s="107"/>
      <c r="J18" s="187">
        <f>(U21*1*AC7*1.06)</f>
        <v>79805890.560000002</v>
      </c>
      <c r="K18" s="187"/>
      <c r="L18" s="187"/>
      <c r="M18" s="187"/>
    </row>
    <row r="19" spans="2:30">
      <c r="S19" s="200" t="s">
        <v>201</v>
      </c>
      <c r="T19" s="200"/>
      <c r="U19" s="193" t="s">
        <v>133</v>
      </c>
      <c r="V19" s="194"/>
      <c r="W19" s="195"/>
      <c r="X19" s="209"/>
      <c r="Y19" s="209"/>
      <c r="Z19" s="209"/>
      <c r="AA19" s="209"/>
      <c r="AB19" s="209"/>
    </row>
    <row r="20" spans="2:30">
      <c r="S20" s="200"/>
      <c r="T20" s="200"/>
      <c r="U20" s="197"/>
      <c r="V20" s="198"/>
      <c r="W20" s="195"/>
      <c r="X20" s="209"/>
      <c r="Y20" s="209"/>
      <c r="Z20" s="209"/>
      <c r="AA20" s="209"/>
      <c r="AB20" s="209"/>
    </row>
    <row r="21" spans="2:30" ht="19.8">
      <c r="B21" s="192" t="s">
        <v>206</v>
      </c>
      <c r="C21" s="192"/>
      <c r="D21" s="100" t="s">
        <v>188</v>
      </c>
      <c r="E21" s="205">
        <f>0.00725*1343000000</f>
        <v>9736750</v>
      </c>
      <c r="F21" s="205"/>
      <c r="G21" s="205"/>
      <c r="J21" s="205">
        <f>E21</f>
        <v>9736750</v>
      </c>
      <c r="K21" s="192"/>
      <c r="L21" s="192"/>
      <c r="M21" s="192"/>
      <c r="S21" s="200" t="s">
        <v>205</v>
      </c>
      <c r="T21" s="200"/>
      <c r="U21" s="200">
        <v>12288</v>
      </c>
      <c r="V21" s="200"/>
      <c r="W21" s="195"/>
      <c r="X21" s="209"/>
      <c r="Y21" s="209"/>
      <c r="Z21" s="209"/>
      <c r="AA21" s="209"/>
      <c r="AB21" s="111"/>
    </row>
    <row r="23" spans="2:30" ht="19.8">
      <c r="B23" s="192" t="s">
        <v>207</v>
      </c>
      <c r="C23" s="192"/>
      <c r="D23" s="100" t="s">
        <v>188</v>
      </c>
      <c r="E23" s="205">
        <f>1343194000*0.015</f>
        <v>20147910</v>
      </c>
      <c r="F23" s="205"/>
      <c r="G23" s="205"/>
      <c r="J23" s="205">
        <f>E23</f>
        <v>20147910</v>
      </c>
      <c r="K23" s="192"/>
      <c r="L23" s="192"/>
      <c r="M23" s="192"/>
    </row>
    <row r="26" spans="2:30">
      <c r="B26" s="192" t="s">
        <v>209</v>
      </c>
      <c r="C26" s="192"/>
      <c r="D26" s="100" t="s">
        <v>188</v>
      </c>
      <c r="E26" s="205">
        <f>0.015*(1343194000-714928326-1001170)</f>
        <v>9408967.5600000005</v>
      </c>
      <c r="F26" s="205"/>
      <c r="G26" s="205"/>
      <c r="J26" s="205">
        <f>E26</f>
        <v>9408967.5600000005</v>
      </c>
      <c r="K26" s="192"/>
      <c r="L26" s="192"/>
      <c r="M26" s="192"/>
    </row>
    <row r="28" spans="2:30" ht="19.8">
      <c r="B28" s="192" t="s">
        <v>228</v>
      </c>
      <c r="C28" s="192"/>
      <c r="D28" s="100" t="s">
        <v>188</v>
      </c>
    </row>
    <row r="31" spans="2:30" ht="19.8">
      <c r="B31" s="192" t="s">
        <v>229</v>
      </c>
      <c r="C31" s="192"/>
      <c r="D31" s="100" t="s">
        <v>188</v>
      </c>
    </row>
    <row r="34" spans="2:13">
      <c r="B34" s="192" t="s">
        <v>230</v>
      </c>
      <c r="C34" s="192"/>
      <c r="D34" s="100" t="s">
        <v>188</v>
      </c>
      <c r="E34" s="205">
        <v>86000000</v>
      </c>
      <c r="F34" s="205"/>
      <c r="G34" s="205"/>
      <c r="J34" s="205">
        <f>E34</f>
        <v>86000000</v>
      </c>
      <c r="K34" s="192"/>
      <c r="L34" s="192"/>
      <c r="M34" s="192"/>
    </row>
    <row r="36" spans="2:13">
      <c r="B36" s="192" t="s">
        <v>213</v>
      </c>
      <c r="C36" s="192"/>
      <c r="D36" s="192" t="s">
        <v>188</v>
      </c>
      <c r="E36" s="210">
        <f>(E34-E18)/E18</f>
        <v>-0.38391852156363582</v>
      </c>
      <c r="F36" s="210"/>
      <c r="G36" s="210"/>
      <c r="J36" s="189">
        <f>(J34-J18)/J18</f>
        <v>7.7614689799659783E-2</v>
      </c>
      <c r="K36" s="189"/>
      <c r="L36" s="189"/>
    </row>
    <row r="37" spans="2:13">
      <c r="B37" s="192" t="s">
        <v>231</v>
      </c>
      <c r="C37" s="192"/>
      <c r="D37" s="192"/>
      <c r="E37" s="210"/>
      <c r="F37" s="210"/>
      <c r="G37" s="210"/>
      <c r="J37" s="189"/>
      <c r="K37" s="189"/>
      <c r="L37" s="189"/>
    </row>
  </sheetData>
  <mergeCells count="76">
    <mergeCell ref="B36:C36"/>
    <mergeCell ref="D36:D37"/>
    <mergeCell ref="E36:G37"/>
    <mergeCell ref="J36:L37"/>
    <mergeCell ref="B37:C37"/>
    <mergeCell ref="B26:C26"/>
    <mergeCell ref="E26:G26"/>
    <mergeCell ref="J26:M26"/>
    <mergeCell ref="Y21:AA21"/>
    <mergeCell ref="B23:C23"/>
    <mergeCell ref="E23:G23"/>
    <mergeCell ref="J23:M23"/>
    <mergeCell ref="B21:C21"/>
    <mergeCell ref="E21:G21"/>
    <mergeCell ref="J21:M21"/>
    <mergeCell ref="S21:T21"/>
    <mergeCell ref="U21:V21"/>
    <mergeCell ref="W21:X21"/>
    <mergeCell ref="B28:C28"/>
    <mergeCell ref="B31:C31"/>
    <mergeCell ref="B34:C34"/>
    <mergeCell ref="E34:G34"/>
    <mergeCell ref="J34:M34"/>
    <mergeCell ref="S17:AB17"/>
    <mergeCell ref="B18:C18"/>
    <mergeCell ref="E18:G18"/>
    <mergeCell ref="J18:M18"/>
    <mergeCell ref="S19:T20"/>
    <mergeCell ref="W19:X19"/>
    <mergeCell ref="Y19:AA20"/>
    <mergeCell ref="AB19:AB20"/>
    <mergeCell ref="U19:V20"/>
    <mergeCell ref="W20:X20"/>
    <mergeCell ref="T13:AA13"/>
    <mergeCell ref="AC13:AD13"/>
    <mergeCell ref="T14:X14"/>
    <mergeCell ref="B15:C15"/>
    <mergeCell ref="E15:G15"/>
    <mergeCell ref="J15:M15"/>
    <mergeCell ref="B12:C12"/>
    <mergeCell ref="E12:G12"/>
    <mergeCell ref="J12:M12"/>
    <mergeCell ref="T12:AA12"/>
    <mergeCell ref="AC12:AD12"/>
    <mergeCell ref="S10:S11"/>
    <mergeCell ref="T10:AA11"/>
    <mergeCell ref="AB10:AB11"/>
    <mergeCell ref="AC10:AD11"/>
    <mergeCell ref="AC7:AD9"/>
    <mergeCell ref="AB7:AB9"/>
    <mergeCell ref="B7:C7"/>
    <mergeCell ref="E7:G7"/>
    <mergeCell ref="J7:M7"/>
    <mergeCell ref="S7:S9"/>
    <mergeCell ref="T7:AA9"/>
    <mergeCell ref="B9:C9"/>
    <mergeCell ref="D9:D10"/>
    <mergeCell ref="L9:M10"/>
    <mergeCell ref="B10:C10"/>
    <mergeCell ref="E8:F8"/>
    <mergeCell ref="G8:H8"/>
    <mergeCell ref="J8:K8"/>
    <mergeCell ref="L8:M8"/>
    <mergeCell ref="E9:F10"/>
    <mergeCell ref="G9:H10"/>
    <mergeCell ref="J9:K10"/>
    <mergeCell ref="S2:S6"/>
    <mergeCell ref="T2:AA6"/>
    <mergeCell ref="AB2:AD2"/>
    <mergeCell ref="B3:O3"/>
    <mergeCell ref="AB3:AB4"/>
    <mergeCell ref="AC3:AD4"/>
    <mergeCell ref="E5:I5"/>
    <mergeCell ref="J5:N5"/>
    <mergeCell ref="AC5:AD5"/>
    <mergeCell ref="AB6:A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Лист1</vt:lpstr>
      <vt:lpstr>Лист2</vt:lpstr>
      <vt:lpstr>Таблица 1.1.</vt:lpstr>
      <vt:lpstr>Таблица 1.2.м</vt:lpstr>
      <vt:lpstr>Таблица 1.2.с</vt:lpstr>
      <vt:lpstr>Таблица 1.2.к</vt:lpstr>
      <vt:lpstr>Таблица 1.3.</vt:lpstr>
      <vt:lpstr> население</vt:lpstr>
      <vt:lpstr>прочие</vt:lpstr>
      <vt:lpstr>сети</vt:lpstr>
      <vt:lpstr>лист 1</vt:lpstr>
      <vt:lpstr>'лист 1'!Область_печати</vt:lpstr>
      <vt:lpstr>'Таблица 1.1.'!Область_печати</vt:lpstr>
      <vt:lpstr>'Таблица 1.2.к'!Область_печати</vt:lpstr>
      <vt:lpstr>'Таблица 1.2.м'!Область_печати</vt:lpstr>
      <vt:lpstr>'Таблица 1.2.с'!Область_печати</vt:lpstr>
      <vt:lpstr>'Таблица 1.3.'!Область_печати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Kazaryan</dc:creator>
  <cp:lastModifiedBy>Абрамова Елена Анатольевна</cp:lastModifiedBy>
  <cp:lastPrinted>2017-12-12T05:56:47Z</cp:lastPrinted>
  <dcterms:created xsi:type="dcterms:W3CDTF">2009-01-23T10:19:39Z</dcterms:created>
  <dcterms:modified xsi:type="dcterms:W3CDTF">2017-12-13T07:38:58Z</dcterms:modified>
</cp:coreProperties>
</file>